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showInkAnnotation="0" codeName="ThisWorkbook" autoCompressPictures="0"/>
  <mc:AlternateContent xmlns:mc="http://schemas.openxmlformats.org/markup-compatibility/2006">
    <mc:Choice Requires="x15">
      <x15ac:absPath xmlns:x15ac="http://schemas.microsoft.com/office/spreadsheetml/2010/11/ac" url="C:\Users\A0505896\Documents\DB-Driver Bias\Galvani\Claculator Design Tools\"/>
    </mc:Choice>
  </mc:AlternateContent>
  <xr:revisionPtr revIDLastSave="0" documentId="13_ncr:1_{13CFA789-EAD8-4A2B-9BC1-5CCC88F0F0EF}"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890" windowWidth="3470" windowHeight="7790"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AG414" i="29" s="1"/>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X223" i="29"/>
  <c r="Y22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X148" i="29"/>
  <c r="Y148" i="29" s="1"/>
  <c r="AH148" i="29"/>
  <c r="V82" i="29"/>
  <c r="AH82" i="29" s="1"/>
  <c r="U82" i="29"/>
  <c r="AG82" i="29" s="1"/>
  <c r="U520" i="29"/>
  <c r="V520" i="29"/>
  <c r="V491" i="29"/>
  <c r="X491" i="29" s="1"/>
  <c r="Y491" i="29" s="1"/>
  <c r="W13" i="29"/>
  <c r="AA13" i="29" s="1"/>
  <c r="W523" i="29"/>
  <c r="AA523" i="29" s="1"/>
  <c r="W474" i="29"/>
  <c r="AA474"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AH315" i="29"/>
  <c r="X315" i="29"/>
  <c r="Y315" i="29" s="1"/>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AH530" i="29"/>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263" i="29"/>
  <c r="AA263"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X548" i="29"/>
  <c r="Y548" i="29" s="1"/>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106"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349" i="29" l="1"/>
  <c r="Y349" i="29" s="1"/>
  <c r="AG71" i="29"/>
  <c r="AH466" i="29"/>
  <c r="AH493" i="29"/>
  <c r="AH268" i="29"/>
  <c r="AH561" i="29"/>
  <c r="AH514" i="29"/>
  <c r="X100" i="29"/>
  <c r="Y100" i="29" s="1"/>
  <c r="W164" i="29"/>
  <c r="AA164" i="29" s="1"/>
  <c r="AG498" i="29"/>
  <c r="W569" i="29"/>
  <c r="AA569" i="29" s="1"/>
  <c r="L106" i="23"/>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L19" i="1" l="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M251" i="25" l="1"/>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AP251" i="25" l="1"/>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94" i="25" l="1"/>
  <c r="BN17" i="24"/>
  <c r="CG17" i="24"/>
  <c r="AU102" i="25"/>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299" i="24" l="1"/>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O167" i="25" l="1"/>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20" i="25" l="1"/>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<sst xmlns="http://schemas.openxmlformats.org/spreadsheetml/2006/main" count="1554" uniqueCount="862">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</sst>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11" fontId="3"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81" xfId="4" applyFont="1" applyFill="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81">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strike/>
        <color rgb="FFFF0000"/>
      </font>
    </dxf>
    <dxf>
      <font>
        <strike/>
        <color rgb="FFFF0000"/>
      </font>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96.720751086805791</c:v>
                </c:pt>
                <c:pt idx="1">
                  <c:v>89.926076113816023</c:v>
                </c:pt>
                <c:pt idx="2">
                  <c:v>89.276580319894308</c:v>
                </c:pt>
                <c:pt idx="3">
                  <c:v>88.605899560894954</c:v>
                </c:pt>
                <c:pt idx="4">
                  <c:v>87.916953347935788</c:v>
                </c:pt>
                <c:pt idx="5">
                  <c:v>87.210902326055916</c:v>
                </c:pt>
                <c:pt idx="6">
                  <c:v>86.490870394601487</c:v>
                </c:pt>
                <c:pt idx="7">
                  <c:v>85.758324250283465</c:v>
                </c:pt>
                <c:pt idx="8">
                  <c:v>85.015533598696734</c:v>
                </c:pt>
                <c:pt idx="9">
                  <c:v>84.263469927696931</c:v>
                </c:pt>
                <c:pt idx="10">
                  <c:v>83.503904944654224</c:v>
                </c:pt>
                <c:pt idx="11">
                  <c:v>82.737897454614412</c:v>
                </c:pt>
                <c:pt idx="12">
                  <c:v>81.966041969602784</c:v>
                </c:pt>
                <c:pt idx="13">
                  <c:v>81.189939715220845</c:v>
                </c:pt>
                <c:pt idx="14">
                  <c:v>80.409705514676858</c:v>
                </c:pt>
                <c:pt idx="15">
                  <c:v>79.626260526617514</c:v>
                </c:pt>
                <c:pt idx="16">
                  <c:v>78.84006858132733</c:v>
                </c:pt>
                <c:pt idx="17">
                  <c:v>78.051686101372567</c:v>
                </c:pt>
                <c:pt idx="18">
                  <c:v>77.26125767963191</c:v>
                </c:pt>
                <c:pt idx="19">
                  <c:v>76.469308977802541</c:v>
                </c:pt>
                <c:pt idx="20">
                  <c:v>75.675944477997334</c:v>
                </c:pt>
                <c:pt idx="21">
                  <c:v>74.881545143897995</c:v>
                </c:pt>
                <c:pt idx="22">
                  <c:v>74.086124063049297</c:v>
                </c:pt>
                <c:pt idx="23">
                  <c:v>73.290030318514255</c:v>
                </c:pt>
                <c:pt idx="24">
                  <c:v>72.4931880035234</c:v>
                </c:pt>
                <c:pt idx="25">
                  <c:v>71.695825652016879</c:v>
                </c:pt>
                <c:pt idx="26">
                  <c:v>70.897844762494714</c:v>
                </c:pt>
                <c:pt idx="27">
                  <c:v>70.09957175773431</c:v>
                </c:pt>
                <c:pt idx="28">
                  <c:v>69.301035636432445</c:v>
                </c:pt>
                <c:pt idx="29">
                  <c:v>68.502782254743082</c:v>
                </c:pt>
                <c:pt idx="30">
                  <c:v>67.703502510594731</c:v>
                </c:pt>
                <c:pt idx="31">
                  <c:v>66.904346644203486</c:v>
                </c:pt>
                <c:pt idx="32">
                  <c:v>66.10480005863414</c:v>
                </c:pt>
                <c:pt idx="33">
                  <c:v>65.305454762471058</c:v>
                </c:pt>
                <c:pt idx="34">
                  <c:v>64.50571213510986</c:v>
                </c:pt>
                <c:pt idx="35">
                  <c:v>63.706036129461687</c:v>
                </c:pt>
                <c:pt idx="36">
                  <c:v>62.90631470288168</c:v>
                </c:pt>
                <c:pt idx="37">
                  <c:v>62.106124148345842</c:v>
                </c:pt>
                <c:pt idx="38">
                  <c:v>61.306230253826683</c:v>
                </c:pt>
                <c:pt idx="39">
                  <c:v>60.505989036264069</c:v>
                </c:pt>
                <c:pt idx="40">
                  <c:v>59.705699949853766</c:v>
                </c:pt>
                <c:pt idx="41">
                  <c:v>58.905287002291502</c:v>
                </c:pt>
                <c:pt idx="42">
                  <c:v>58.104848890445339</c:v>
                </c:pt>
                <c:pt idx="43">
                  <c:v>57.304133754635913</c:v>
                </c:pt>
                <c:pt idx="44">
                  <c:v>56.503332333116916</c:v>
                </c:pt>
                <c:pt idx="45">
                  <c:v>55.70225472548583</c:v>
                </c:pt>
                <c:pt idx="46">
                  <c:v>54.901027377920428</c:v>
                </c:pt>
                <c:pt idx="47">
                  <c:v>54.099434434561225</c:v>
                </c:pt>
                <c:pt idx="48">
                  <c:v>53.297620566317654</c:v>
                </c:pt>
                <c:pt idx="49">
                  <c:v>52.495317532629791</c:v>
                </c:pt>
                <c:pt idx="50">
                  <c:v>51.692572972261381</c:v>
                </c:pt>
                <c:pt idx="51">
                  <c:v>50.889108754369317</c:v>
                </c:pt>
                <c:pt idx="52">
                  <c:v>50.085072668984132</c:v>
                </c:pt>
                <c:pt idx="53">
                  <c:v>49.280305943173289</c:v>
                </c:pt>
                <c:pt idx="54">
                  <c:v>48.475158927372249</c:v>
                </c:pt>
                <c:pt idx="55">
                  <c:v>47.668092558636431</c:v>
                </c:pt>
                <c:pt idx="56">
                  <c:v>46.860026072838643</c:v>
                </c:pt>
                <c:pt idx="57">
                  <c:v>46.05016945718873</c:v>
                </c:pt>
                <c:pt idx="58">
                  <c:v>45.238819638702523</c:v>
                </c:pt>
                <c:pt idx="59">
                  <c:v>44.425028199154745</c:v>
                </c:pt>
                <c:pt idx="60">
                  <c:v>43.608884369962375</c:v>
                </c:pt>
                <c:pt idx="61">
                  <c:v>42.789848663232839</c:v>
                </c:pt>
                <c:pt idx="62">
                  <c:v>41.967015177793598</c:v>
                </c:pt>
                <c:pt idx="63">
                  <c:v>41.14066105570339</c:v>
                </c:pt>
                <c:pt idx="64">
                  <c:v>40.309578869576697</c:v>
                </c:pt>
                <c:pt idx="65">
                  <c:v>39.47351611875051</c:v>
                </c:pt>
                <c:pt idx="66">
                  <c:v>38.631834263510463</c:v>
                </c:pt>
                <c:pt idx="67">
                  <c:v>37.784110582304102</c:v>
                </c:pt>
                <c:pt idx="68">
                  <c:v>36.929621014365168</c:v>
                </c:pt>
                <c:pt idx="69">
                  <c:v>36.068228999296124</c:v>
                </c:pt>
                <c:pt idx="70">
                  <c:v>35.199561081822758</c:v>
                </c:pt>
                <c:pt idx="71">
                  <c:v>34.323809997222234</c:v>
                </c:pt>
                <c:pt idx="72">
                  <c:v>33.441069663985317</c:v>
                </c:pt>
                <c:pt idx="73">
                  <c:v>32.552140312320489</c:v>
                </c:pt>
                <c:pt idx="74">
                  <c:v>31.65769132621655</c:v>
                </c:pt>
                <c:pt idx="75">
                  <c:v>30.759054210082425</c:v>
                </c:pt>
                <c:pt idx="76">
                  <c:v>29.857463477665952</c:v>
                </c:pt>
                <c:pt idx="77">
                  <c:v>28.954823557226369</c:v>
                </c:pt>
                <c:pt idx="78">
                  <c:v>28.052789873006503</c:v>
                </c:pt>
                <c:pt idx="79">
                  <c:v>27.153572851534658</c:v>
                </c:pt>
                <c:pt idx="80">
                  <c:v>26.257163506570365</c:v>
                </c:pt>
                <c:pt idx="81">
                  <c:v>25.366099443224979</c:v>
                </c:pt>
                <c:pt idx="82">
                  <c:v>24.48077038010522</c:v>
                </c:pt>
                <c:pt idx="83">
                  <c:v>23.602486616124423</c:v>
                </c:pt>
                <c:pt idx="84">
                  <c:v>22.730941228581337</c:v>
                </c:pt>
                <c:pt idx="85">
                  <c:v>21.866715704384777</c:v>
                </c:pt>
                <c:pt idx="86">
                  <c:v>21.009527196140386</c:v>
                </c:pt>
                <c:pt idx="87">
                  <c:v>20.158585306762053</c:v>
                </c:pt>
                <c:pt idx="88">
                  <c:v>19.314234406178123</c:v>
                </c:pt>
                <c:pt idx="89">
                  <c:v>18.475241209731273</c:v>
                </c:pt>
                <c:pt idx="90">
                  <c:v>17.641327947699715</c:v>
                </c:pt>
                <c:pt idx="91">
                  <c:v>16.811810292771664</c:v>
                </c:pt>
                <c:pt idx="92">
                  <c:v>15.986196750121417</c:v>
                </c:pt>
                <c:pt idx="93">
                  <c:v>15.1636608171844</c:v>
                </c:pt>
                <c:pt idx="94">
                  <c:v>14.958546728502649</c:v>
                </c:pt>
                <c:pt idx="95">
                  <c:v>14.855414721417137</c:v>
                </c:pt>
                <c:pt idx="96">
                  <c:v>14.753501419778148</c:v>
                </c:pt>
                <c:pt idx="97">
                  <c:v>14.650456778718127</c:v>
                </c:pt>
                <c:pt idx="98">
                  <c:v>14.548627671574653</c:v>
                </c:pt>
                <c:pt idx="99">
                  <c:v>14.445640399356328</c:v>
                </c:pt>
                <c:pt idx="100">
                  <c:v>14.343866174248349</c:v>
                </c:pt>
                <c:pt idx="101">
                  <c:v>14.240986251548042</c:v>
                </c:pt>
                <c:pt idx="102">
                  <c:v>14.139315701429336</c:v>
                </c:pt>
                <c:pt idx="103">
                  <c:v>14.036440295548116</c:v>
                </c:pt>
                <c:pt idx="104">
                  <c:v>13.93477297242811</c:v>
                </c:pt>
                <c:pt idx="105">
                  <c:v>13.831955214971458</c:v>
                </c:pt>
                <c:pt idx="106">
                  <c:v>13.730342988957894</c:v>
                </c:pt>
                <c:pt idx="107">
                  <c:v>13.627632136806223</c:v>
                </c:pt>
                <c:pt idx="108">
                  <c:v>13.52612309970759</c:v>
                </c:pt>
                <c:pt idx="109">
                  <c:v>13.423495285084853</c:v>
                </c:pt>
                <c:pt idx="110">
                  <c:v>13.32206610860524</c:v>
                </c:pt>
                <c:pt idx="111">
                  <c:v>13.219432588713175</c:v>
                </c:pt>
                <c:pt idx="112">
                  <c:v>13.117996570039889</c:v>
                </c:pt>
                <c:pt idx="113">
                  <c:v>13.015410170038944</c:v>
                </c:pt>
                <c:pt idx="114">
                  <c:v>12.914018885706355</c:v>
                </c:pt>
                <c:pt idx="115">
                  <c:v>12.811463872421236</c:v>
                </c:pt>
                <c:pt idx="116">
                  <c:v>12.710101931051783</c:v>
                </c:pt>
                <c:pt idx="117">
                  <c:v>12.607564922649113</c:v>
                </c:pt>
                <c:pt idx="118">
                  <c:v>12.506219227225079</c:v>
                </c:pt>
                <c:pt idx="119">
                  <c:v>12.403750786825052</c:v>
                </c:pt>
                <c:pt idx="120">
                  <c:v>12.302470708162712</c:v>
                </c:pt>
                <c:pt idx="121">
                  <c:v>12.200057347547627</c:v>
                </c:pt>
                <c:pt idx="122">
                  <c:v>12.098829684605994</c:v>
                </c:pt>
                <c:pt idx="123">
                  <c:v>11.996400993093392</c:v>
                </c:pt>
                <c:pt idx="124">
                  <c:v>11.895156927590806</c:v>
                </c:pt>
                <c:pt idx="125">
                  <c:v>11.792765011721098</c:v>
                </c:pt>
                <c:pt idx="126">
                  <c:v>11.691555421008456</c:v>
                </c:pt>
                <c:pt idx="127">
                  <c:v>11.589192340726001</c:v>
                </c:pt>
                <c:pt idx="128">
                  <c:v>11.488009436130415</c:v>
                </c:pt>
                <c:pt idx="129">
                  <c:v>11.385668836348914</c:v>
                </c:pt>
                <c:pt idx="130">
                  <c:v>11.28450637519142</c:v>
                </c:pt>
                <c:pt idx="131">
                  <c:v>11.182183349326607</c:v>
                </c:pt>
                <c:pt idx="132">
                  <c:v>11.131464645069391</c:v>
                </c:pt>
                <c:pt idx="133">
                  <c:v>11.081036501692353</c:v>
                </c:pt>
                <c:pt idx="134">
                  <c:v>11.029707037513125</c:v>
                </c:pt>
                <c:pt idx="135">
                  <c:v>10.978674950447211</c:v>
                </c:pt>
                <c:pt idx="136">
                  <c:v>10.927936712864298</c:v>
                </c:pt>
                <c:pt idx="137">
                  <c:v>10.877488859418239</c:v>
                </c:pt>
                <c:pt idx="138">
                  <c:v>10.826192447650227</c:v>
                </c:pt>
                <c:pt idx="139">
                  <c:v>10.775192617256085</c:v>
                </c:pt>
                <c:pt idx="140">
                  <c:v>10.724485854208181</c:v>
                </c:pt>
                <c:pt idx="141">
                  <c:v>10.674068706425535</c:v>
                </c:pt>
                <c:pt idx="142">
                  <c:v>10.622752453368545</c:v>
                </c:pt>
                <c:pt idx="143">
                  <c:v>10.571732585365446</c:v>
                </c:pt>
                <c:pt idx="144">
                  <c:v>10.521005591261039</c:v>
                </c:pt>
                <c:pt idx="145">
                  <c:v>10.47056802176095</c:v>
                </c:pt>
                <c:pt idx="146">
                  <c:v>10.4192581347207</c:v>
                </c:pt>
                <c:pt idx="147">
                  <c:v>10.368244122688461</c:v>
                </c:pt>
                <c:pt idx="148">
                  <c:v>10.317522482831453</c:v>
                </c:pt>
                <c:pt idx="149">
                  <c:v>10.267089773964106</c:v>
                </c:pt>
                <c:pt idx="150">
                  <c:v>10.215786494095614</c:v>
                </c:pt>
                <c:pt idx="151">
                  <c:v>10.16477856447991</c:v>
                </c:pt>
                <c:pt idx="152">
                  <c:v>10.114062490751973</c:v>
                </c:pt>
                <c:pt idx="153">
                  <c:v>10.063634839977556</c:v>
                </c:pt>
                <c:pt idx="154">
                  <c:v>10.01231526488546</c:v>
                </c:pt>
                <c:pt idx="155">
                  <c:v>9.961290765213322</c:v>
                </c:pt>
                <c:pt idx="156">
                  <c:v>9.9105578505242402</c:v>
                </c:pt>
                <c:pt idx="157">
                  <c:v>9.8601130917020345</c:v>
                </c:pt>
                <c:pt idx="158">
                  <c:v>9.808779805495206</c:v>
                </c:pt>
                <c:pt idx="159">
                  <c:v>9.757741276029666</c:v>
                </c:pt>
                <c:pt idx="160">
                  <c:v>9.7069940174520486</c:v>
                </c:pt>
                <c:pt idx="161">
                  <c:v>9.6565346051047012</c:v>
                </c:pt>
                <c:pt idx="162">
                  <c:v>9.6052129058570088</c:v>
                </c:pt>
                <c:pt idx="163">
                  <c:v>9.5541853406092745</c:v>
                </c:pt>
                <c:pt idx="164">
                  <c:v>9.5034484333429834</c:v>
                </c:pt>
                <c:pt idx="165">
                  <c:v>9.4529987689881771</c:v>
                </c:pt>
                <c:pt idx="166">
                  <c:v>9.4016461875725383</c:v>
                </c:pt>
                <c:pt idx="167">
                  <c:v>9.3505875875207494</c:v>
                </c:pt>
                <c:pt idx="168">
                  <c:v>9.2998194942098991</c:v>
                </c:pt>
                <c:pt idx="169">
                  <c:v>9.2493384939159533</c:v>
                </c:pt>
                <c:pt idx="170">
                  <c:v>9.1980671232343738</c:v>
                </c:pt>
                <c:pt idx="171">
                  <c:v>9.1470882875588639</c:v>
                </c:pt>
                <c:pt idx="172">
                  <c:v>9.0963985363774533</c:v>
                </c:pt>
                <c:pt idx="173">
                  <c:v>9.0459944794995923</c:v>
                </c:pt>
                <c:pt idx="174">
                  <c:v>8.9946128337860394</c:v>
                </c:pt>
                <c:pt idx="175">
                  <c:v>8.9435244407736256</c:v>
                </c:pt>
                <c:pt idx="176">
                  <c:v>8.8927258357159715</c:v>
                </c:pt>
                <c:pt idx="177">
                  <c:v>8.8422136145027892</c:v>
                </c:pt>
                <c:pt idx="178">
                  <c:v>8.7907528259212757</c:v>
                </c:pt>
                <c:pt idx="179">
                  <c:v>8.7395856328684811</c:v>
                </c:pt>
                <c:pt idx="180">
                  <c:v>8.688708562824619</c:v>
                </c:pt>
                <c:pt idx="181">
                  <c:v>8.6381182040711124</c:v>
                </c:pt>
                <c:pt idx="182">
                  <c:v>8.5868079318199371</c:v>
                </c:pt>
                <c:pt idx="183">
                  <c:v>8.5357889710755117</c:v>
                </c:pt>
                <c:pt idx="184">
                  <c:v>8.4850578878033289</c:v>
                </c:pt>
                <c:pt idx="185">
                  <c:v>8.4346113078612071</c:v>
                </c:pt>
                <c:pt idx="186">
                  <c:v>8.383072760610851</c:v>
                </c:pt>
                <c:pt idx="187">
                  <c:v>8.3318275175489642</c:v>
                </c:pt>
                <c:pt idx="188">
                  <c:v>8.2808721074424945</c:v>
                </c:pt>
                <c:pt idx="189">
                  <c:v>8.2302031198006418</c:v>
                </c:pt>
                <c:pt idx="190">
                  <c:v>8.1788583711382632</c:v>
                </c:pt>
                <c:pt idx="191">
                  <c:v>8.1278041165207267</c:v>
                </c:pt>
                <c:pt idx="192">
                  <c:v>8.0770369322015618</c:v>
                </c:pt>
                <c:pt idx="193">
                  <c:v>8.0265534540608279</c:v>
                </c:pt>
                <c:pt idx="194">
                  <c:v>7.9750379330459911</c:v>
                </c:pt>
                <c:pt idx="195">
                  <c:v>7.9238141974977152</c:v>
                </c:pt>
                <c:pt idx="196">
                  <c:v>7.8728787985759707</c:v>
                </c:pt>
                <c:pt idx="197">
                  <c:v>7.8222283476364662</c:v>
                </c:pt>
                <c:pt idx="198">
                  <c:v>7.7707596738426119</c:v>
                </c:pt>
                <c:pt idx="199">
                  <c:v>7.7195815956277496</c:v>
                </c:pt>
                <c:pt idx="200">
                  <c:v>7.6686906827083279</c:v>
                </c:pt>
                <c:pt idx="201">
                  <c:v>7.6180835645543947</c:v>
                </c:pt>
                <c:pt idx="202">
                  <c:v>7.5666815465649648</c:v>
                </c:pt>
                <c:pt idx="203">
                  <c:v>7.5155686926046563</c:v>
                </c:pt>
                <c:pt idx="204">
                  <c:v>7.4647415950315201</c:v>
                </c:pt>
                <c:pt idx="205">
                  <c:v>7.4141969054227896</c:v>
                </c:pt>
                <c:pt idx="206">
                  <c:v>7.3627045288636586</c:v>
                </c:pt>
                <c:pt idx="207">
                  <c:v>7.3115016235953583</c:v>
                </c:pt>
                <c:pt idx="208">
                  <c:v>7.2605847737858209</c:v>
                </c:pt>
                <c:pt idx="209">
                  <c:v>7.2099506230016353</c:v>
                </c:pt>
                <c:pt idx="210">
                  <c:v>7.158224886748938</c:v>
                </c:pt>
                <c:pt idx="211">
                  <c:v>7.1067905033145609</c:v>
                </c:pt>
                <c:pt idx="212">
                  <c:v>7.0556440206240714</c:v>
                </c:pt>
                <c:pt idx="213">
                  <c:v>7.0047820468319397</c:v>
                </c:pt>
                <c:pt idx="214">
                  <c:v>6.9531958295839846</c:v>
                </c:pt>
                <c:pt idx="215">
                  <c:v>6.9018986350692888</c:v>
                </c:pt>
                <c:pt idx="216">
                  <c:v>6.8508870492889384</c:v>
                </c:pt>
                <c:pt idx="217">
                  <c:v>6.8001577175835415</c:v>
                </c:pt>
                <c:pt idx="218">
                  <c:v>6.7485602362254626</c:v>
                </c:pt>
                <c:pt idx="219">
                  <c:v>6.6972511125977086</c:v>
                </c:pt>
                <c:pt idx="220">
                  <c:v>6.6462269411445192</c:v>
                </c:pt>
                <c:pt idx="221">
                  <c:v>6.5954843754479233</c:v>
                </c:pt>
                <c:pt idx="222">
                  <c:v>6.5438982741800968</c:v>
                </c:pt>
                <c:pt idx="223">
                  <c:v>6.4925995850526093</c:v>
                </c:pt>
                <c:pt idx="224">
                  <c:v>6.4415849157308429</c:v>
                </c:pt>
                <c:pt idx="225">
                  <c:v>6.3908509327075071</c:v>
                </c:pt>
                <c:pt idx="226">
                  <c:v>6.3391403903734469</c:v>
                </c:pt>
                <c:pt idx="227">
                  <c:v>6.2877177922314234</c:v>
                </c:pt>
                <c:pt idx="228">
                  <c:v>6.236579732881439</c:v>
                </c:pt>
                <c:pt idx="229">
                  <c:v>6.1857228660475485</c:v>
                </c:pt>
                <c:pt idx="230">
                  <c:v>6.0824001512533696</c:v>
                </c:pt>
                <c:pt idx="231">
                  <c:v>6.031167547751469</c:v>
                </c:pt>
                <c:pt idx="232">
                  <c:v>5.9802162898294364</c:v>
                </c:pt>
                <c:pt idx="233">
                  <c:v>5.9283435096448986</c:v>
                </c:pt>
                <c:pt idx="234">
                  <c:v>5.8767586642627183</c:v>
                </c:pt>
                <c:pt idx="235">
                  <c:v>5.8254583404996261</c:v>
                </c:pt>
                <c:pt idx="236">
                  <c:v>5.7744391844716381</c:v>
                </c:pt>
                <c:pt idx="237">
                  <c:v>5.7226712204351857</c:v>
                </c:pt>
                <c:pt idx="238">
                  <c:v>5.6711890787806274</c:v>
                </c:pt>
                <c:pt idx="239">
                  <c:v>5.6199893794721687</c:v>
                </c:pt>
                <c:pt idx="240">
                  <c:v>5.5690688010083385</c:v>
                </c:pt>
                <c:pt idx="241">
                  <c:v>5.5171327738421976</c:v>
                </c:pt>
                <c:pt idx="242">
                  <c:v>5.4654834299809743</c:v>
                </c:pt>
                <c:pt idx="243">
                  <c:v>5.4141173696917786</c:v>
                </c:pt>
                <c:pt idx="244">
                  <c:v>5.3630312522314361</c:v>
                </c:pt>
                <c:pt idx="245">
                  <c:v>5.3110989318040751</c:v>
                </c:pt>
                <c:pt idx="246">
                  <c:v>5.2594522236518637</c:v>
                </c:pt>
                <c:pt idx="247">
                  <c:v>5.2080877423673133</c:v>
                </c:pt>
                <c:pt idx="248">
                  <c:v>5.1570021612049199</c:v>
                </c:pt>
                <c:pt idx="249">
                  <c:v>5.104956359781708</c:v>
                </c:pt>
                <c:pt idx="250">
                  <c:v>5.0531963450453112</c:v>
                </c:pt>
                <c:pt idx="251">
                  <c:v>5.0017187236223428</c:v>
                </c:pt>
                <c:pt idx="252">
                  <c:v>4.950520160989579</c:v>
                </c:pt>
                <c:pt idx="253">
                  <c:v>4.8985226058522198</c:v>
                </c:pt>
                <c:pt idx="254">
                  <c:v>4.8468092004414416</c:v>
                </c:pt>
                <c:pt idx="255">
                  <c:v>4.7953765753596258</c:v>
                </c:pt>
                <c:pt idx="256">
                  <c:v>4.7442214195132184</c:v>
                </c:pt>
                <c:pt idx="257">
                  <c:v>4.6920259348978766</c:v>
                </c:pt>
                <c:pt idx="258">
                  <c:v>4.6401156049542545</c:v>
                </c:pt>
                <c:pt idx="259">
                  <c:v>4.5884870371447244</c:v>
                </c:pt>
                <c:pt idx="260">
                  <c:v>4.537136897776886</c:v>
                </c:pt>
                <c:pt idx="261">
                  <c:v>4.484904287944846</c:v>
                </c:pt>
                <c:pt idx="262">
                  <c:v>4.4329560357030759</c:v>
                </c:pt>
                <c:pt idx="263">
                  <c:v>4.3812887571695454</c:v>
                </c:pt>
                <c:pt idx="264">
                  <c:v>4.329899127117887</c:v>
                </c:pt>
                <c:pt idx="265">
                  <c:v>4.2776510749265322</c:v>
                </c:pt>
                <c:pt idx="266">
                  <c:v>4.2256863035256806</c:v>
                </c:pt>
                <c:pt idx="267">
                  <c:v>4.1740014424662792</c:v>
                </c:pt>
                <c:pt idx="268">
                  <c:v>4.1225931796577697</c:v>
                </c:pt>
                <c:pt idx="269">
                  <c:v>4.070226471219847</c:v>
                </c:pt>
                <c:pt idx="270">
                  <c:v>4.0181430345484106</c:v>
                </c:pt>
                <c:pt idx="271">
                  <c:v>3.9663394934099565</c:v>
                </c:pt>
                <c:pt idx="272">
                  <c:v>3.9148125300770009</c:v>
                </c:pt>
                <c:pt idx="273">
                  <c:v>3.8623533444751352</c:v>
                </c:pt>
                <c:pt idx="274">
                  <c:v>3.8101770845604719</c:v>
                </c:pt>
                <c:pt idx="275">
                  <c:v>3.758280374091441</c:v>
                </c:pt>
                <c:pt idx="276">
                  <c:v>3.706659895349568</c:v>
                </c:pt>
                <c:pt idx="277">
                  <c:v>3.6542504438330079</c:v>
                </c:pt>
                <c:pt idx="278">
                  <c:v>3.6021219949007186</c:v>
                </c:pt>
                <c:pt idx="279">
                  <c:v>3.5502712002296466</c:v>
                </c:pt>
                <c:pt idx="280">
                  <c:v>3.498694769396391</c:v>
                </c:pt>
                <c:pt idx="281">
                  <c:v>3.4460034503730625</c:v>
                </c:pt>
                <c:pt idx="282">
                  <c:v>3.3935947061884097</c:v>
                </c:pt>
                <c:pt idx="283">
                  <c:v>3.3414651538254252</c:v>
                </c:pt>
                <c:pt idx="284">
                  <c:v>3.2896114689877267</c:v>
                </c:pt>
                <c:pt idx="285">
                  <c:v>3.2370128270553056</c:v>
                </c:pt>
                <c:pt idx="286">
                  <c:v>3.1846942721720546</c:v>
                </c:pt>
                <c:pt idx="287">
                  <c:v>3.1326524589701048</c:v>
                </c:pt>
                <c:pt idx="288">
                  <c:v>3.0808840999596128</c:v>
                </c:pt>
                <c:pt idx="289">
                  <c:v>3.028057671938162</c:v>
                </c:pt>
                <c:pt idx="290">
                  <c:v>2.975512197512673</c:v>
                </c:pt>
                <c:pt idx="291">
                  <c:v>2.9232443087643252</c:v>
                </c:pt>
                <c:pt idx="292">
                  <c:v>2.8712506961995334</c:v>
                </c:pt>
                <c:pt idx="293">
                  <c:v>2.8183360158592805</c:v>
                </c:pt>
                <c:pt idx="294">
                  <c:v>2.7657016078567946</c:v>
                </c:pt>
                <c:pt idx="295">
                  <c:v>2.7133441091934083</c:v>
                </c:pt>
                <c:pt idx="296">
                  <c:v>2.6612602152133054</c:v>
                </c:pt>
                <c:pt idx="297">
                  <c:v>2.6082794492956718</c:v>
                </c:pt>
                <c:pt idx="298">
                  <c:v>2.5555779793332993</c:v>
                </c:pt>
                <c:pt idx="299">
                  <c:v>2.5031524523499451</c:v>
                </c:pt>
                <c:pt idx="300">
                  <c:v>2.4509995735154524</c:v>
                </c:pt>
                <c:pt idx="301">
                  <c:v>2.3979731012443311</c:v>
                </c:pt>
                <c:pt idx="302">
                  <c:v>2.3452246749990842</c:v>
                </c:pt>
                <c:pt idx="303">
                  <c:v>2.2927509565577684</c:v>
                </c:pt>
                <c:pt idx="304">
                  <c:v>2.2405486655425015</c:v>
                </c:pt>
                <c:pt idx="305">
                  <c:v>2.1872916515593026</c:v>
                </c:pt>
                <c:pt idx="306">
                  <c:v>2.1343132994357421</c:v>
                </c:pt>
                <c:pt idx="307">
                  <c:v>2.0816102519663828</c:v>
                </c:pt>
                <c:pt idx="308">
                  <c:v>2.0291792102696231</c:v>
                </c:pt>
                <c:pt idx="309">
                  <c:v>1.9759205956539749</c:v>
                </c:pt>
                <c:pt idx="310">
                  <c:v>1.9229388004048944</c:v>
                </c:pt>
                <c:pt idx="311">
                  <c:v>1.8702304923858495</c:v>
                </c:pt>
                <c:pt idx="312">
                  <c:v>1.8177923972516319</c:v>
                </c:pt>
                <c:pt idx="313">
                  <c:v>1.7643521399537021</c:v>
                </c:pt>
                <c:pt idx="314">
                  <c:v>1.7111886618109899</c:v>
                </c:pt>
                <c:pt idx="315">
                  <c:v>1.6582986231264112</c:v>
                </c:pt>
                <c:pt idx="316">
                  <c:v>1.6056787422186889</c:v>
                </c:pt>
                <c:pt idx="317">
                  <c:v>1.5520825225964439</c:v>
                </c:pt>
                <c:pt idx="318">
                  <c:v>1.498762697681737</c:v>
                </c:pt>
                <c:pt idx="319">
                  <c:v>1.4457159262240964</c:v>
                </c:pt>
                <c:pt idx="320">
                  <c:v>1.3929389250797741</c:v>
                </c:pt>
                <c:pt idx="321">
                  <c:v>1.3392104403374794</c:v>
                </c:pt>
                <c:pt idx="322">
                  <c:v>1.2857576447209873</c:v>
                </c:pt>
                <c:pt idx="323">
                  <c:v>1.2325772010640004</c:v>
                </c:pt>
                <c:pt idx="324">
                  <c:v>1.1796658302724641</c:v>
                </c:pt>
                <c:pt idx="325">
                  <c:v>1.1258268856711644</c:v>
                </c:pt>
                <c:pt idx="326">
                  <c:v>1.0722626261508086</c:v>
                </c:pt>
                <c:pt idx="327">
                  <c:v>1.0189697238961335</c:v>
                </c:pt>
                <c:pt idx="328">
                  <c:v>0.96594490901284646</c:v>
                </c:pt>
                <c:pt idx="329">
                  <c:v>0.91192555621540727</c:v>
                </c:pt>
                <c:pt idx="330">
                  <c:v>0.85818051768758852</c:v>
                </c:pt>
                <c:pt idx="331">
                  <c:v>0.80470646335927098</c:v>
                </c:pt>
                <c:pt idx="332">
                  <c:v>0.75150012120400633</c:v>
                </c:pt>
                <c:pt idx="333">
                  <c:v>0.69741219636915242</c:v>
                </c:pt>
                <c:pt idx="334">
                  <c:v>0.64359700438420886</c:v>
                </c:pt>
                <c:pt idx="335">
                  <c:v>0.59005123478961985</c:v>
                </c:pt>
                <c:pt idx="336">
                  <c:v>0.53677163479143397</c:v>
                </c:pt>
                <c:pt idx="337">
                  <c:v>0.4824588557905628</c:v>
                </c:pt>
                <c:pt idx="338">
                  <c:v>0.42841872165835126</c:v>
                </c:pt>
                <c:pt idx="339">
                  <c:v>0.37464791433378353</c:v>
                </c:pt>
                <c:pt idx="340">
                  <c:v>0.32114317367988304</c:v>
                </c:pt>
                <c:pt idx="341">
                  <c:v>0.26663076043195649</c:v>
                </c:pt>
                <c:pt idx="342">
                  <c:v>0.21239055927256142</c:v>
                </c:pt>
                <c:pt idx="343">
                  <c:v>0.15841925069765481</c:v>
                </c:pt>
                <c:pt idx="344">
                  <c:v>0.10471357324994907</c:v>
                </c:pt>
                <c:pt idx="345">
                  <c:v>5.0107793042380472E-2</c:v>
                </c:pt>
                <c:pt idx="346">
                  <c:v>-4.2273495959770464E-3</c:v>
                </c:pt>
                <c:pt idx="347">
                  <c:v>-5.8295154839931196E-2</c:v>
                </c:pt>
                <c:pt idx="348">
                  <c:v>-0.11209886517116414</c:v>
                </c:pt>
                <c:pt idx="349">
                  <c:v>-0.16694435576516747</c:v>
                </c:pt>
                <c:pt idx="350">
                  <c:v>-0.22151941986143256</c:v>
                </c:pt>
                <c:pt idx="351">
                  <c:v>-0.27582736319791101</c:v>
                </c:pt>
                <c:pt idx="352">
                  <c:v>-0.32987143358722071</c:v>
                </c:pt>
                <c:pt idx="353">
                  <c:v>-0.38493222775852981</c:v>
                </c:pt>
                <c:pt idx="354">
                  <c:v>-0.43972314332045298</c:v>
                </c:pt>
                <c:pt idx="355">
                  <c:v>-0.49424748544830521</c:v>
                </c:pt>
                <c:pt idx="356">
                  <c:v>-0.54850850129451156</c:v>
                </c:pt>
                <c:pt idx="357">
                  <c:v>-0.60368385210334918</c:v>
                </c:pt>
                <c:pt idx="358">
                  <c:v>-0.65859094404620444</c:v>
                </c:pt>
                <c:pt idx="359">
                  <c:v>-0.71323306206556558</c:v>
                </c:pt>
                <c:pt idx="360">
                  <c:v>-0.76761343343505706</c:v>
                </c:pt>
                <c:pt idx="361">
                  <c:v>-0.8230408305824598</c:v>
                </c:pt>
                <c:pt idx="362">
                  <c:v>-0.87820034144434678</c:v>
                </c:pt>
                <c:pt idx="363">
                  <c:v>-0.9330952534981265</c:v>
                </c:pt>
                <c:pt idx="364">
                  <c:v>-0.98772879636653832</c:v>
                </c:pt>
                <c:pt idx="365">
                  <c:v>-1.0433095755494624</c:v>
                </c:pt>
                <c:pt idx="366">
                  <c:v>-1.0986238852265853</c:v>
                </c:pt>
                <c:pt idx="367">
                  <c:v>-1.1536749961477897</c:v>
                </c:pt>
                <c:pt idx="368">
                  <c:v>-1.2084661214650079</c:v>
                </c:pt>
                <c:pt idx="369">
                  <c:v>-1.2643309462101149</c:v>
                </c:pt>
                <c:pt idx="370">
                  <c:v>-1.3199295604235461</c:v>
                </c:pt>
                <c:pt idx="371">
                  <c:v>-1.3752652392407241</c:v>
                </c:pt>
                <c:pt idx="372">
                  <c:v>-1.4303411999524818</c:v>
                </c:pt>
                <c:pt idx="373">
                  <c:v>-1.486393651370167</c:v>
                </c:pt>
                <c:pt idx="374">
                  <c:v>-1.5421811656031046</c:v>
                </c:pt>
                <c:pt idx="375">
                  <c:v>-1.5977070033354945</c:v>
                </c:pt>
                <c:pt idx="376">
                  <c:v>-1.652974367593254</c:v>
                </c:pt>
                <c:pt idx="377">
                  <c:v>-1.7093388871960555</c:v>
                </c:pt>
                <c:pt idx="378">
                  <c:v>-1.7654386656452732</c:v>
                </c:pt>
                <c:pt idx="379">
                  <c:v>-1.8212769687775665</c:v>
                </c:pt>
                <c:pt idx="380">
                  <c:v>-1.876857004487074</c:v>
                </c:pt>
                <c:pt idx="381">
                  <c:v>-1.9333696793300268</c:v>
                </c:pt>
                <c:pt idx="382">
                  <c:v>-1.9896194395073932</c:v>
                </c:pt>
                <c:pt idx="383">
                  <c:v>-2.0456095256619982</c:v>
                </c:pt>
                <c:pt idx="384">
                  <c:v>-2.1013431209159088</c:v>
                </c:pt>
                <c:pt idx="385">
                  <c:v>-2.1581951359878464</c:v>
                </c:pt>
                <c:pt idx="386">
                  <c:v>-2.2147843782619101</c:v>
                </c:pt>
                <c:pt idx="387">
                  <c:v>-2.2711140939103021</c:v>
                </c:pt>
                <c:pt idx="388">
                  <c:v>-2.3271874712712108</c:v>
                </c:pt>
                <c:pt idx="389">
                  <c:v>-2.384287137657993</c:v>
                </c:pt>
                <c:pt idx="390">
                  <c:v>-2.4411251219557895</c:v>
                </c:pt>
                <c:pt idx="391">
                  <c:v>-2.4977046579618252</c:v>
                </c:pt>
                <c:pt idx="392">
                  <c:v>-2.5540289217392758</c:v>
                </c:pt>
                <c:pt idx="393">
                  <c:v>-2.6113574643992026</c:v>
                </c:pt>
                <c:pt idx="394">
                  <c:v>-2.6684256760829261</c:v>
                </c:pt>
                <c:pt idx="395">
                  <c:v>-2.7252367729314275</c:v>
                </c:pt>
                <c:pt idx="396">
                  <c:v>-2.7817939135675895</c:v>
                </c:pt>
                <c:pt idx="397">
                  <c:v>-2.8394640805522595</c:v>
                </c:pt>
                <c:pt idx="398">
                  <c:v>-2.8968743396441643</c:v>
                </c:pt>
                <c:pt idx="399">
                  <c:v>-2.954027905952894</c:v>
                </c:pt>
                <c:pt idx="400">
                  <c:v>-3.0109279368803463</c:v>
                </c:pt>
                <c:pt idx="401">
                  <c:v>-3.0688534387968245</c:v>
                </c:pt>
                <c:pt idx="402">
                  <c:v>-3.1265203284403116</c:v>
                </c:pt>
                <c:pt idx="403">
                  <c:v>-3.1839318031661392</c:v>
                </c:pt>
                <c:pt idx="404">
                  <c:v>-3.2410910028210873</c:v>
                </c:pt>
                <c:pt idx="405">
                  <c:v>-3.2993171866157995</c:v>
                </c:pt>
                <c:pt idx="406">
                  <c:v>-3.3572857365652986</c:v>
                </c:pt>
                <c:pt idx="407">
                  <c:v>-3.4149998374712083</c:v>
                </c:pt>
                <c:pt idx="408">
                  <c:v>-3.472462616691943</c:v>
                </c:pt>
                <c:pt idx="409">
                  <c:v>-3.5310319966807553</c:v>
                </c:pt>
                <c:pt idx="410">
                  <c:v>-3.5893444385598055</c:v>
                </c:pt>
                <c:pt idx="411">
                  <c:v>-3.6474031190687333</c:v>
                </c:pt>
                <c:pt idx="412">
                  <c:v>-3.7052111574516697</c:v>
                </c:pt>
                <c:pt idx="413">
                  <c:v>-3.7641030883603301</c:v>
                </c:pt>
                <c:pt idx="414">
                  <c:v>-3.8227390496270806</c:v>
                </c:pt>
                <c:pt idx="415">
                  <c:v>-3.8811222040782161</c:v>
                </c:pt>
                <c:pt idx="416">
                  <c:v>-3.9392556571229091</c:v>
                </c:pt>
                <c:pt idx="417">
                  <c:v>-3.9985106523235485</c:v>
                </c:pt>
                <c:pt idx="418">
                  <c:v>-4.0575103836321906</c:v>
                </c:pt>
                <c:pt idx="419">
                  <c:v>-4.1162580039271894</c:v>
                </c:pt>
                <c:pt idx="420">
                  <c:v>-4.1747566086432437</c:v>
                </c:pt>
                <c:pt idx="421">
                  <c:v>-4.2342957712162361</c:v>
                </c:pt>
                <c:pt idx="422">
                  <c:v>-4.2935811349495259</c:v>
                </c:pt>
                <c:pt idx="423">
                  <c:v>-4.3526158277964919</c:v>
                </c:pt>
                <c:pt idx="424">
                  <c:v>-4.411402920594977</c:v>
                </c:pt>
                <c:pt idx="425">
                  <c:v>-4.4713828849308648</c:v>
                </c:pt>
                <c:pt idx="426">
                  <c:v>-4.5311092630319418</c:v>
                </c:pt>
                <c:pt idx="427">
                  <c:v>-4.590585179974088</c:v>
                </c:pt>
                <c:pt idx="428">
                  <c:v>-4.6498137035015903</c:v>
                </c:pt>
                <c:pt idx="429">
                  <c:v>-4.7101548518858003</c:v>
                </c:pt>
                <c:pt idx="430">
                  <c:v>-4.7702433857778566</c:v>
                </c:pt>
                <c:pt idx="431">
                  <c:v>-4.830082412253609</c:v>
                </c:pt>
                <c:pt idx="432">
                  <c:v>-4.8896749812017095</c:v>
                </c:pt>
                <c:pt idx="433">
                  <c:v>-4.9503587491391015</c:v>
                </c:pt>
                <c:pt idx="434">
                  <c:v>-5.0107910987478022</c:v>
                </c:pt>
                <c:pt idx="435">
                  <c:v>-5.0709751137884016</c:v>
                </c:pt>
                <c:pt idx="436">
                  <c:v>-5.1309138211030012</c:v>
                </c:pt>
                <c:pt idx="437">
                  <c:v>-5.1920325118241166</c:v>
                </c:pt>
                <c:pt idx="438">
                  <c:v>-5.2529002862658478</c:v>
                </c:pt>
                <c:pt idx="439">
                  <c:v>-5.3135202163259496</c:v>
                </c:pt>
                <c:pt idx="440">
                  <c:v>-5.3738953169659487</c:v>
                </c:pt>
                <c:pt idx="441">
                  <c:v>-5.4354278951074866</c:v>
                </c:pt>
                <c:pt idx="442">
                  <c:v>-5.4967103037492713</c:v>
                </c:pt>
                <c:pt idx="443">
                  <c:v>-5.5577455970674805</c:v>
                </c:pt>
                <c:pt idx="444">
                  <c:v>-5.6185367724238731</c:v>
                </c:pt>
                <c:pt idx="445">
                  <c:v>-5.6804637386064547</c:v>
                </c:pt>
                <c:pt idx="446">
                  <c:v>-5.7421415008315977</c:v>
                </c:pt>
                <c:pt idx="447">
                  <c:v>-5.8035730901349183</c:v>
                </c:pt>
                <c:pt idx="448">
                  <c:v>-5.8647614809908841</c:v>
                </c:pt>
                <c:pt idx="449">
                  <c:v>-5.9271690016687071</c:v>
                </c:pt>
                <c:pt idx="450">
                  <c:v>-5.9893276503005008</c:v>
                </c:pt>
                <c:pt idx="451">
                  <c:v>-6.0512404447908033</c:v>
                </c:pt>
                <c:pt idx="452">
                  <c:v>-6.1129103464865224</c:v>
                </c:pt>
                <c:pt idx="453">
                  <c:v>-6.1757254676540088</c:v>
                </c:pt>
                <c:pt idx="454">
                  <c:v>-6.2382926840906769</c:v>
                </c:pt>
                <c:pt idx="455">
                  <c:v>-6.3006149874713122</c:v>
                </c:pt>
                <c:pt idx="456">
                  <c:v>-6.3626953132430835</c:v>
                </c:pt>
                <c:pt idx="457">
                  <c:v>-6.4260012513466434</c:v>
                </c:pt>
                <c:pt idx="458">
                  <c:v>-6.4890596415236885</c:v>
                </c:pt>
                <c:pt idx="459">
                  <c:v>-6.5518734586101068</c:v>
                </c:pt>
                <c:pt idx="460">
                  <c:v>-6.6144456213123881</c:v>
                </c:pt>
                <c:pt idx="461">
                  <c:v>-6.6782211624494838</c:v>
                </c:pt>
                <c:pt idx="462">
                  <c:v>-6.7417497232907317</c:v>
                </c:pt>
                <c:pt idx="463">
                  <c:v>-6.8050342563323039</c:v>
                </c:pt>
                <c:pt idx="464">
                  <c:v>-6.8680776581812939</c:v>
                </c:pt>
                <c:pt idx="465">
                  <c:v>-6.9323519304729864</c:v>
                </c:pt>
                <c:pt idx="466">
                  <c:v>-6.9963796015225359</c:v>
                </c:pt>
                <c:pt idx="467">
                  <c:v>-7.060163603111751</c:v>
                </c:pt>
                <c:pt idx="468">
                  <c:v>-7.1237068113400532</c:v>
                </c:pt>
                <c:pt idx="469">
                  <c:v>-7.188459020893001</c:v>
                </c:pt>
                <c:pt idx="470">
                  <c:v>-7.2529651969893107</c:v>
                </c:pt>
                <c:pt idx="471">
                  <c:v>-7.317228245573375</c:v>
                </c:pt>
                <c:pt idx="472">
                  <c:v>-7.3812510172530033</c:v>
                </c:pt>
                <c:pt idx="473">
                  <c:v>-7.4465566588947265</c:v>
                </c:pt>
                <c:pt idx="474">
                  <c:v>-7.5116162867435072</c:v>
                </c:pt>
                <c:pt idx="475">
                  <c:v>-7.5764327887706546</c:v>
                </c:pt>
                <c:pt idx="476">
                  <c:v>-7.6410089977701423</c:v>
                </c:pt>
                <c:pt idx="477">
                  <c:v>-7.7068454912444393</c:v>
                </c:pt>
                <c:pt idx="478">
                  <c:v>-7.7724361828296562</c:v>
                </c:pt>
                <c:pt idx="479">
                  <c:v>-7.8377839372825351</c:v>
                </c:pt>
                <c:pt idx="480">
                  <c:v>-7.9028915644900302</c:v>
                </c:pt>
                <c:pt idx="481">
                  <c:v>-7.9692375997703699</c:v>
                </c:pt>
                <c:pt idx="482">
                  <c:v>-8.0353382129116842</c:v>
                </c:pt>
                <c:pt idx="483">
                  <c:v>-8.1011962407378562</c:v>
                </c:pt>
                <c:pt idx="484">
                  <c:v>-8.166814465649912</c:v>
                </c:pt>
                <c:pt idx="485">
                  <c:v>-8.2336953432727924</c:v>
                </c:pt>
                <c:pt idx="486">
                  <c:v>-8.3003309914575691</c:v>
                </c:pt>
                <c:pt idx="487">
                  <c:v>-8.3667242205818368</c:v>
                </c:pt>
                <c:pt idx="488">
                  <c:v>-8.4328777870322824</c:v>
                </c:pt>
                <c:pt idx="489">
                  <c:v>-8.5003620377420557</c:v>
                </c:pt>
                <c:pt idx="490">
                  <c:v>-8.5676007491376893</c:v>
                </c:pt>
                <c:pt idx="491">
                  <c:v>-8.6345967119686424</c:v>
                </c:pt>
                <c:pt idx="492">
                  <c:v>-8.701352663277321</c:v>
                </c:pt>
                <c:pt idx="493">
                  <c:v>-8.7694164565617463</c:v>
                </c:pt>
                <c:pt idx="494">
                  <c:v>-8.8372345695475847</c:v>
                </c:pt>
                <c:pt idx="495">
                  <c:v>-8.9048097687040997</c:v>
                </c:pt>
                <c:pt idx="496">
                  <c:v>-8.9721447672261139</c:v>
                </c:pt>
                <c:pt idx="497">
                  <c:v>-9.0408089355068277</c:v>
                </c:pt>
                <c:pt idx="498">
                  <c:v>-9.1092271187119458</c:v>
                </c:pt>
                <c:pt idx="499">
                  <c:v>-9.1774020601106301</c:v>
                </c:pt>
                <c:pt idx="500">
                  <c:v>-9.245336450136838</c:v>
                </c:pt>
                <c:pt idx="501">
                  <c:v>-9.3146204185673227</c:v>
                </c:pt>
                <c:pt idx="502">
                  <c:v>-9.3836579397410844</c:v>
                </c:pt>
                <c:pt idx="503">
                  <c:v>-9.4524517347380659</c:v>
                </c:pt>
                <c:pt idx="504">
                  <c:v>-9.5210044722546208</c:v>
                </c:pt>
                <c:pt idx="505">
                  <c:v>-9.5908839991668913</c:v>
                </c:pt>
                <c:pt idx="506">
                  <c:v>-9.6605167628004036</c:v>
                </c:pt>
                <c:pt idx="507">
                  <c:v>-9.7299054581625732</c:v>
                </c:pt>
                <c:pt idx="508">
                  <c:v>-9.7990527284710698</c:v>
                </c:pt>
                <c:pt idx="509">
                  <c:v>-9.8695463161005215</c:v>
                </c:pt>
                <c:pt idx="510">
                  <c:v>-9.9397926598072512</c:v>
                </c:pt>
                <c:pt idx="511">
                  <c:v>-10.009794429922181</c:v>
                </c:pt>
                <c:pt idx="512">
                  <c:v>-10.079554245591515</c:v>
                </c:pt>
                <c:pt idx="513">
                  <c:v>-10.150720171615292</c:v>
                </c:pt>
                <c:pt idx="514">
                  <c:v>-10.221637929302043</c:v>
                </c:pt>
                <c:pt idx="515">
                  <c:v>-10.292310170259141</c:v>
                </c:pt>
                <c:pt idx="516">
                  <c:v>-10.362739495414443</c:v>
                </c:pt>
                <c:pt idx="517">
                  <c:v>-10.434551313590338</c:v>
                </c:pt>
                <c:pt idx="518">
                  <c:v>-10.506114184807572</c:v>
                </c:pt>
                <c:pt idx="519">
                  <c:v>-10.577430738559045</c:v>
                </c:pt>
                <c:pt idx="520">
                  <c:v>-10.648503554305789</c:v>
                </c:pt>
                <c:pt idx="521">
                  <c:v>-10.720975837219012</c:v>
                </c:pt>
                <c:pt idx="522">
                  <c:v>-10.793198248803566</c:v>
                </c:pt>
                <c:pt idx="523">
                  <c:v>-10.865173397933683</c:v>
                </c:pt>
                <c:pt idx="524">
                  <c:v>-10.93690384412244</c:v>
                </c:pt>
                <c:pt idx="525">
                  <c:v>-11.010049918720735</c:v>
                </c:pt>
                <c:pt idx="526">
                  <c:v>-11.082945058484553</c:v>
                </c:pt>
                <c:pt idx="527">
                  <c:v>-11.155591853251959</c:v>
                </c:pt>
                <c:pt idx="528">
                  <c:v>-11.22799284419626</c:v>
                </c:pt>
                <c:pt idx="529">
                  <c:v>-11.301824829968973</c:v>
                </c:pt>
                <c:pt idx="530">
                  <c:v>-11.375404685182058</c:v>
                </c:pt>
                <c:pt idx="531">
                  <c:v>-11.448734982333487</c:v>
                </c:pt>
                <c:pt idx="532">
                  <c:v>-11.521818245980702</c:v>
                </c:pt>
                <c:pt idx="533">
                  <c:v>-11.596385504732513</c:v>
                </c:pt>
                <c:pt idx="534">
                  <c:v>-11.67069905192584</c:v>
                </c:pt>
                <c:pt idx="535">
                  <c:v>-11.744761448479036</c:v>
                </c:pt>
                <c:pt idx="536">
                  <c:v>-11.818575208027024</c:v>
                </c:pt>
                <c:pt idx="537">
                  <c:v>-11.893810224496965</c:v>
                </c:pt>
                <c:pt idx="538">
                  <c:v>-11.968790357608912</c:v>
                </c:pt>
                <c:pt idx="539">
                  <c:v>-12.043518150753984</c:v>
                </c:pt>
                <c:pt idx="540">
                  <c:v>-12.117996100922477</c:v>
                </c:pt>
                <c:pt idx="541">
                  <c:v>-12.19398393743047</c:v>
                </c:pt>
                <c:pt idx="542">
                  <c:v>-12.269715093253792</c:v>
                </c:pt>
                <c:pt idx="543">
                  <c:v>-12.345192104177762</c:v>
                </c:pt>
                <c:pt idx="544">
                  <c:v>-12.420417460313031</c:v>
                </c:pt>
                <c:pt idx="545">
                  <c:v>-12.497127429885516</c:v>
                </c:pt>
                <c:pt idx="546">
                  <c:v>-12.573579083784098</c:v>
                </c:pt>
                <c:pt idx="547">
                  <c:v>-12.649774948682479</c:v>
                </c:pt>
                <c:pt idx="548">
                  <c:v>-12.725717506431685</c:v>
                </c:pt>
                <c:pt idx="549">
                  <c:v>-12.8031563440511</c:v>
                </c:pt>
                <c:pt idx="550">
                  <c:v>-12.880335142995119</c:v>
                </c:pt>
                <c:pt idx="551">
                  <c:v>-12.9572564234597</c:v>
                </c:pt>
                <c:pt idx="552">
                  <c:v>-13.033922661700529</c:v>
                </c:pt>
                <c:pt idx="553">
                  <c:v>-13.112132081756805</c:v>
                </c:pt>
                <c:pt idx="554">
                  <c:v>-13.190079424277554</c:v>
                </c:pt>
                <c:pt idx="555">
                  <c:v>-13.267767209308873</c:v>
                </c:pt>
                <c:pt idx="556">
                  <c:v>-13.345197913791733</c:v>
                </c:pt>
                <c:pt idx="557">
                  <c:v>-13.502900745575367</c:v>
                </c:pt>
                <c:pt idx="558">
                  <c:v>-13.659556958219358</c:v>
                </c:pt>
                <c:pt idx="559">
                  <c:v>-13.8187415799762</c:v>
                </c:pt>
                <c:pt idx="560">
                  <c:v>-13.976872022202379</c:v>
                </c:pt>
                <c:pt idx="561">
                  <c:v>-14.137682829012171</c:v>
                </c:pt>
                <c:pt idx="562">
                  <c:v>-14.297429977056183</c:v>
                </c:pt>
                <c:pt idx="563">
                  <c:v>-14.459527650026498</c:v>
                </c:pt>
                <c:pt idx="564">
                  <c:v>-14.620556689775963</c:v>
                </c:pt>
                <c:pt idx="565">
                  <c:v>-14.784556679499596</c:v>
                </c:pt>
                <c:pt idx="566">
                  <c:v>-14.947475085117519</c:v>
                </c:pt>
                <c:pt idx="567">
                  <c:v>-15.113298922833948</c:v>
                </c:pt>
                <c:pt idx="568">
                  <c:v>-15.278029483076512</c:v>
                </c:pt>
                <c:pt idx="569">
                  <c:v>-15.44494953423786</c:v>
                </c:pt>
                <c:pt idx="570">
                  <c:v>-15.61077444533705</c:v>
                </c:pt>
                <c:pt idx="571">
                  <c:v>-15.780032293496369</c:v>
                </c:pt>
                <c:pt idx="572">
                  <c:v>-15.948177294408186</c:v>
                </c:pt>
                <c:pt idx="573">
                  <c:v>-16.118408055968978</c:v>
                </c:pt>
                <c:pt idx="574">
                  <c:v>-16.28752665802083</c:v>
                </c:pt>
                <c:pt idx="575">
                  <c:v>-16.459944995802907</c:v>
                </c:pt>
                <c:pt idx="576">
                  <c:v>-16.631236696297425</c:v>
                </c:pt>
                <c:pt idx="577">
                  <c:v>-17.344424404625666</c:v>
                </c:pt>
                <c:pt idx="578">
                  <c:v>-18.03936075794979</c:v>
                </c:pt>
                <c:pt idx="579">
                  <c:v>-19.505315982687954</c:v>
                </c:pt>
                <c:pt idx="580">
                  <c:v>-21.037634058630708</c:v>
                </c:pt>
                <c:pt idx="581">
                  <c:v>-22.644451154484742</c:v>
                </c:pt>
                <c:pt idx="582">
                  <c:v>-24.345026124460869</c:v>
                </c:pt>
                <c:pt idx="583">
                  <c:v>-26.171676750045375</c:v>
                </c:pt>
                <c:pt idx="584">
                  <c:v>-28.190605989842474</c:v>
                </c:pt>
                <c:pt idx="585">
                  <c:v>-30.533945059503868</c:v>
                </c:pt>
                <c:pt idx="586">
                  <c:v>-33.502368112854825</c:v>
                </c:pt>
                <c:pt idx="587">
                  <c:v>-37.890739615198981</c:v>
                </c:pt>
                <c:pt idx="588">
                  <c:v>-46.850577357873519</c:v>
                </c:pt>
                <c:pt idx="589">
                  <c:v>-51.578942233186467</c:v>
                </c:pt>
                <c:pt idx="590">
                  <c:v>-42.753159049807138</c:v>
                </c:pt>
                <c:pt idx="591">
                  <c:v>-40.883904975681858</c:v>
                </c:pt>
                <c:pt idx="592">
                  <c:v>-41.047730700058523</c:v>
                </c:pt>
                <c:pt idx="593">
                  <c:v>-42.215738511699293</c:v>
                </c:pt>
                <c:pt idx="594">
                  <c:v>-44.276817319635128</c:v>
                </c:pt>
                <c:pt idx="595">
                  <c:v>-48.347491672689983</c:v>
                </c:pt>
                <c:pt idx="596">
                  <c:v>-66.666405442907347</c:v>
                </c:pt>
                <c:pt idx="597">
                  <c:v>-52.384215368918831</c:v>
                </c:pt>
                <c:pt idx="598">
                  <c:v>-50.226716961221797</c:v>
                </c:pt>
                <c:pt idx="599">
                  <c:v>-51.596825192158647</c:v>
                </c:pt>
                <c:pt idx="600">
                  <c:v>-57.836377946798017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-10.258398092910317</c:v>
                </c:pt>
                <c:pt idx="1">
                  <c:v>-63.267771292963197</c:v>
                </c:pt>
                <c:pt idx="2">
                  <c:v>-65.331484415030545</c:v>
                </c:pt>
                <c:pt idx="3">
                  <c:v>-67.275291433744371</c:v>
                </c:pt>
                <c:pt idx="4">
                  <c:v>-69.096712639003414</c:v>
                </c:pt>
                <c:pt idx="5">
                  <c:v>-70.799472979606747</c:v>
                </c:pt>
                <c:pt idx="6">
                  <c:v>-72.383499704114655</c:v>
                </c:pt>
                <c:pt idx="7">
                  <c:v>-73.853636758246552</c:v>
                </c:pt>
                <c:pt idx="8">
                  <c:v>-75.213591105475558</c:v>
                </c:pt>
                <c:pt idx="9">
                  <c:v>-76.469835728543487</c:v>
                </c:pt>
                <c:pt idx="10">
                  <c:v>-77.627476574966337</c:v>
                </c:pt>
                <c:pt idx="11">
                  <c:v>-78.692780639665813</c:v>
                </c:pt>
                <c:pt idx="12">
                  <c:v>-79.672371297323423</c:v>
                </c:pt>
                <c:pt idx="13">
                  <c:v>-80.571349373975508</c:v>
                </c:pt>
                <c:pt idx="14">
                  <c:v>-81.396331305368065</c:v>
                </c:pt>
                <c:pt idx="15">
                  <c:v>-82.152623014469143</c:v>
                </c:pt>
                <c:pt idx="16">
                  <c:v>-82.845672741190668</c:v>
                </c:pt>
                <c:pt idx="17">
                  <c:v>-83.480478532754219</c:v>
                </c:pt>
                <c:pt idx="18">
                  <c:v>-84.062001563085644</c:v>
                </c:pt>
                <c:pt idx="19">
                  <c:v>-84.594550993518055</c:v>
                </c:pt>
                <c:pt idx="20">
                  <c:v>-85.082399540144408</c:v>
                </c:pt>
                <c:pt idx="21">
                  <c:v>-85.529318357288986</c:v>
                </c:pt>
                <c:pt idx="22">
                  <c:v>-85.938990817974272</c:v>
                </c:pt>
                <c:pt idx="23">
                  <c:v>-86.314637195169766</c:v>
                </c:pt>
                <c:pt idx="24">
                  <c:v>-86.659423658591635</c:v>
                </c:pt>
                <c:pt idx="25">
                  <c:v>-86.976128742312198</c:v>
                </c:pt>
                <c:pt idx="26">
                  <c:v>-87.267439501867244</c:v>
                </c:pt>
                <c:pt idx="27">
                  <c:v>-87.535680491115556</c:v>
                </c:pt>
                <c:pt idx="28">
                  <c:v>-87.783105856736427</c:v>
                </c:pt>
                <c:pt idx="29">
                  <c:v>-88.011653134287286</c:v>
                </c:pt>
                <c:pt idx="30">
                  <c:v>-88.223618261337094</c:v>
                </c:pt>
                <c:pt idx="31">
                  <c:v>-88.420470415233424</c:v>
                </c:pt>
                <c:pt idx="32">
                  <c:v>-88.604003544923586</c:v>
                </c:pt>
                <c:pt idx="33">
                  <c:v>-88.77563593062446</c:v>
                </c:pt>
                <c:pt idx="34">
                  <c:v>-88.936949802062372</c:v>
                </c:pt>
                <c:pt idx="35">
                  <c:v>-89.089213693586913</c:v>
                </c:pt>
                <c:pt idx="36">
                  <c:v>-89.233740023439793</c:v>
                </c:pt>
                <c:pt idx="37">
                  <c:v>-89.371822689578835</c:v>
                </c:pt>
                <c:pt idx="38">
                  <c:v>-89.504494901562339</c:v>
                </c:pt>
                <c:pt idx="39">
                  <c:v>-89.632983645064854</c:v>
                </c:pt>
                <c:pt idx="40">
                  <c:v>-89.7583202044339</c:v>
                </c:pt>
                <c:pt idx="41">
                  <c:v>-89.881568431446979</c:v>
                </c:pt>
                <c:pt idx="42">
                  <c:v>-90.003743692279485</c:v>
                </c:pt>
                <c:pt idx="43">
                  <c:v>-90.125901204295047</c:v>
                </c:pt>
                <c:pt idx="44">
                  <c:v>-90.24902224200234</c:v>
                </c:pt>
                <c:pt idx="45">
                  <c:v>-90.374146894230677</c:v>
                </c:pt>
                <c:pt idx="46">
                  <c:v>-90.502272685078907</c:v>
                </c:pt>
                <c:pt idx="47">
                  <c:v>-90.634463635159776</c:v>
                </c:pt>
                <c:pt idx="48">
                  <c:v>-90.771741675813928</c:v>
                </c:pt>
                <c:pt idx="49">
                  <c:v>-90.915218894811503</c:v>
                </c:pt>
                <c:pt idx="50">
                  <c:v>-91.065976112434356</c:v>
                </c:pt>
                <c:pt idx="51">
                  <c:v>-91.225178801963565</c:v>
                </c:pt>
                <c:pt idx="52">
                  <c:v>-91.393930295850865</c:v>
                </c:pt>
                <c:pt idx="53">
                  <c:v>-91.573407269072078</c:v>
                </c:pt>
                <c:pt idx="54">
                  <c:v>-91.764668911454407</c:v>
                </c:pt>
                <c:pt idx="55">
                  <c:v>-91.969227178747843</c:v>
                </c:pt>
                <c:pt idx="56">
                  <c:v>-92.187970027334472</c:v>
                </c:pt>
                <c:pt idx="57">
                  <c:v>-92.422157560603324</c:v>
                </c:pt>
                <c:pt idx="58">
                  <c:v>-92.672647459981334</c:v>
                </c:pt>
                <c:pt idx="59">
                  <c:v>-92.940524812459969</c:v>
                </c:pt>
                <c:pt idx="60">
                  <c:v>-93.22633932921741</c:v>
                </c:pt>
                <c:pt idx="61">
                  <c:v>-93.530550252524819</c:v>
                </c:pt>
                <c:pt idx="62">
                  <c:v>-93.85338827200178</c:v>
                </c:pt>
                <c:pt idx="63">
                  <c:v>-94.194124307516276</c:v>
                </c:pt>
                <c:pt idx="64">
                  <c:v>-94.552007247198247</c:v>
                </c:pt>
                <c:pt idx="65">
                  <c:v>-94.925157289719508</c:v>
                </c:pt>
                <c:pt idx="66">
                  <c:v>-95.310996965685533</c:v>
                </c:pt>
                <c:pt idx="67">
                  <c:v>-95.705896141394888</c:v>
                </c:pt>
                <c:pt idx="68">
                  <c:v>-96.10535724021112</c:v>
                </c:pt>
                <c:pt idx="69">
                  <c:v>-96.503615088473751</c:v>
                </c:pt>
                <c:pt idx="70">
                  <c:v>-96.894128697523385</c:v>
                </c:pt>
                <c:pt idx="71">
                  <c:v>-97.269439356474365</c:v>
                </c:pt>
                <c:pt idx="72">
                  <c:v>-97.621820536652663</c:v>
                </c:pt>
                <c:pt idx="73">
                  <c:v>-97.943417345030596</c:v>
                </c:pt>
                <c:pt idx="74">
                  <c:v>-98.227144422046507</c:v>
                </c:pt>
                <c:pt idx="75">
                  <c:v>-98.467000815368635</c:v>
                </c:pt>
                <c:pt idx="76">
                  <c:v>-98.658880612700756</c:v>
                </c:pt>
                <c:pt idx="77">
                  <c:v>-98.800844910971165</c:v>
                </c:pt>
                <c:pt idx="78">
                  <c:v>-98.89360778356864</c:v>
                </c:pt>
                <c:pt idx="79">
                  <c:v>-98.940474353940317</c:v>
                </c:pt>
                <c:pt idx="80">
                  <c:v>-98.94723674440452</c:v>
                </c:pt>
                <c:pt idx="81">
                  <c:v>-98.921605662719642</c:v>
                </c:pt>
                <c:pt idx="82">
                  <c:v>-98.872814516742892</c:v>
                </c:pt>
                <c:pt idx="83">
                  <c:v>-98.811032055750616</c:v>
                </c:pt>
                <c:pt idx="84">
                  <c:v>-98.746666943117873</c:v>
                </c:pt>
                <c:pt idx="85">
                  <c:v>-98.690048932363041</c:v>
                </c:pt>
                <c:pt idx="86">
                  <c:v>-98.650944820318315</c:v>
                </c:pt>
                <c:pt idx="87">
                  <c:v>-98.638395524738343</c:v>
                </c:pt>
                <c:pt idx="88">
                  <c:v>-98.660628991914805</c:v>
                </c:pt>
                <c:pt idx="89">
                  <c:v>-98.725049784992038</c:v>
                </c:pt>
                <c:pt idx="90">
                  <c:v>-98.838302496018485</c:v>
                </c:pt>
                <c:pt idx="91">
                  <c:v>-99.006434918121982</c:v>
                </c:pt>
                <c:pt idx="92">
                  <c:v>-99.23499972154444</c:v>
                </c:pt>
                <c:pt idx="93">
                  <c:v>-99.529363712575076</c:v>
                </c:pt>
                <c:pt idx="94">
                  <c:v>-99.613801836865747</c:v>
                </c:pt>
                <c:pt idx="95">
                  <c:v>-99.657982577501585</c:v>
                </c:pt>
                <c:pt idx="96">
                  <c:v>-99.702789644513331</c:v>
                </c:pt>
                <c:pt idx="97">
                  <c:v>-99.749265789201885</c:v>
                </c:pt>
                <c:pt idx="98">
                  <c:v>-99.796361907446638</c:v>
                </c:pt>
                <c:pt idx="99">
                  <c:v>-99.845185854051564</c:v>
                </c:pt>
                <c:pt idx="100">
                  <c:v>-99.89462337862625</c:v>
                </c:pt>
                <c:pt idx="101">
                  <c:v>-99.945809947642857</c:v>
                </c:pt>
                <c:pt idx="102">
                  <c:v>-99.997602741563583</c:v>
                </c:pt>
                <c:pt idx="103">
                  <c:v>-100.05124256267375</c:v>
                </c:pt>
                <c:pt idx="104">
                  <c:v>-100.10548211803757</c:v>
                </c:pt>
                <c:pt idx="105">
                  <c:v>-100.16158970523567</c:v>
                </c:pt>
                <c:pt idx="106">
                  <c:v>-100.21828959902919</c:v>
                </c:pt>
                <c:pt idx="107">
                  <c:v>-100.27687666530871</c:v>
                </c:pt>
                <c:pt idx="108">
                  <c:v>-100.33604777055746</c:v>
                </c:pt>
                <c:pt idx="109">
                  <c:v>-100.39716522910751</c:v>
                </c:pt>
                <c:pt idx="110">
                  <c:v>-100.45885848485058</c:v>
                </c:pt>
                <c:pt idx="111">
                  <c:v>-100.52260048724598</c:v>
                </c:pt>
                <c:pt idx="112">
                  <c:v>-100.58691079579619</c:v>
                </c:pt>
                <c:pt idx="113">
                  <c:v>-100.65328839725021</c:v>
                </c:pt>
                <c:pt idx="114">
                  <c:v>-100.72022600950335</c:v>
                </c:pt>
                <c:pt idx="115">
                  <c:v>-100.78929175234641</c:v>
                </c:pt>
                <c:pt idx="116">
                  <c:v>-100.85890918746425</c:v>
                </c:pt>
                <c:pt idx="117">
                  <c:v>-100.93071601039767</c:v>
                </c:pt>
                <c:pt idx="118">
                  <c:v>-101.00306617108862</c:v>
                </c:pt>
                <c:pt idx="119">
                  <c:v>-101.07762195499832</c:v>
                </c:pt>
                <c:pt idx="120">
                  <c:v>-101.15271203709402</c:v>
                </c:pt>
                <c:pt idx="121">
                  <c:v>-101.2300683825828</c:v>
                </c:pt>
                <c:pt idx="122">
                  <c:v>-101.30794999995568</c:v>
                </c:pt>
                <c:pt idx="123">
                  <c:v>-101.3882054599397</c:v>
                </c:pt>
                <c:pt idx="124">
                  <c:v>-101.4689777562546</c:v>
                </c:pt>
                <c:pt idx="125">
                  <c:v>-101.55213907244669</c:v>
                </c:pt>
                <c:pt idx="126">
                  <c:v>-101.63580815063895</c:v>
                </c:pt>
                <c:pt idx="127">
                  <c:v>-101.72192764782213</c:v>
                </c:pt>
                <c:pt idx="128">
                  <c:v>-101.80854581835254</c:v>
                </c:pt>
                <c:pt idx="129">
                  <c:v>-101.8976759689773</c:v>
                </c:pt>
                <c:pt idx="130">
                  <c:v>-101.98729568306823</c:v>
                </c:pt>
                <c:pt idx="131">
                  <c:v>-102.0794890555605</c:v>
                </c:pt>
                <c:pt idx="132">
                  <c:v>-102.1257668728433</c:v>
                </c:pt>
                <c:pt idx="133">
                  <c:v>-102.17216285477831</c:v>
                </c:pt>
                <c:pt idx="134">
                  <c:v>-102.21978218710233</c:v>
                </c:pt>
                <c:pt idx="135">
                  <c:v>-102.26752139397281</c:v>
                </c:pt>
                <c:pt idx="136">
                  <c:v>-102.3153785253232</c:v>
                </c:pt>
                <c:pt idx="137">
                  <c:v>-102.3633516705942</c:v>
                </c:pt>
                <c:pt idx="138">
                  <c:v>-102.41253203350951</c:v>
                </c:pt>
                <c:pt idx="139">
                  <c:v>-102.46182981842796</c:v>
                </c:pt>
                <c:pt idx="140">
                  <c:v>-102.51124310365365</c:v>
                </c:pt>
                <c:pt idx="141">
                  <c:v>-102.56077000659306</c:v>
                </c:pt>
                <c:pt idx="142">
                  <c:v>-102.61158712742056</c:v>
                </c:pt>
                <c:pt idx="143">
                  <c:v>-102.66251944711408</c:v>
                </c:pt>
                <c:pt idx="144">
                  <c:v>-102.71356506704672</c:v>
                </c:pt>
                <c:pt idx="145">
                  <c:v>-102.76472212741525</c:v>
                </c:pt>
                <c:pt idx="146">
                  <c:v>-102.8171776384672</c:v>
                </c:pt>
                <c:pt idx="147">
                  <c:v>-102.86974599388195</c:v>
                </c:pt>
                <c:pt idx="148">
                  <c:v>-102.92242532156446</c:v>
                </c:pt>
                <c:pt idx="149">
                  <c:v>-102.97521378785842</c:v>
                </c:pt>
                <c:pt idx="150">
                  <c:v>-103.02933387659843</c:v>
                </c:pt>
                <c:pt idx="151">
                  <c:v>-103.08356444500555</c:v>
                </c:pt>
                <c:pt idx="152">
                  <c:v>-103.13790364798659</c:v>
                </c:pt>
                <c:pt idx="153">
                  <c:v>-103.19234967847339</c:v>
                </c:pt>
                <c:pt idx="154">
                  <c:v>-103.24818617728602</c:v>
                </c:pt>
                <c:pt idx="155">
                  <c:v>-103.30413087939692</c:v>
                </c:pt>
                <c:pt idx="156">
                  <c:v>-103.36018196466438</c:v>
                </c:pt>
                <c:pt idx="157">
                  <c:v>-103.4163376505975</c:v>
                </c:pt>
                <c:pt idx="158">
                  <c:v>-103.47391718480544</c:v>
                </c:pt>
                <c:pt idx="159">
                  <c:v>-103.53160262361403</c:v>
                </c:pt>
                <c:pt idx="160">
                  <c:v>-103.58939217247416</c:v>
                </c:pt>
                <c:pt idx="161">
                  <c:v>-103.64728407408533</c:v>
                </c:pt>
                <c:pt idx="162">
                  <c:v>-103.70660704085267</c:v>
                </c:pt>
                <c:pt idx="163">
                  <c:v>-103.76603350181897</c:v>
                </c:pt>
                <c:pt idx="164">
                  <c:v>-103.82556169091666</c:v>
                </c:pt>
                <c:pt idx="165">
                  <c:v>-103.8851898788312</c:v>
                </c:pt>
                <c:pt idx="166">
                  <c:v>-103.94633461316745</c:v>
                </c:pt>
                <c:pt idx="167">
                  <c:v>-104.00758059399044</c:v>
                </c:pt>
                <c:pt idx="168">
                  <c:v>-104.06892607956577</c:v>
                </c:pt>
                <c:pt idx="169">
                  <c:v>-104.13036936451782</c:v>
                </c:pt>
                <c:pt idx="170">
                  <c:v>-104.19323040860581</c:v>
                </c:pt>
                <c:pt idx="171">
                  <c:v>-104.25619000960889</c:v>
                </c:pt>
                <c:pt idx="172">
                  <c:v>-104.31924646148489</c:v>
                </c:pt>
                <c:pt idx="173">
                  <c:v>-104.38239809382453</c:v>
                </c:pt>
                <c:pt idx="174">
                  <c:v>-104.44723888197503</c:v>
                </c:pt>
                <c:pt idx="175">
                  <c:v>-104.51217626536985</c:v>
                </c:pt>
                <c:pt idx="176">
                  <c:v>-104.57720855471678</c:v>
                </c:pt>
                <c:pt idx="177">
                  <c:v>-104.64233409614552</c:v>
                </c:pt>
                <c:pt idx="178">
                  <c:v>-104.7091561120745</c:v>
                </c:pt>
                <c:pt idx="179">
                  <c:v>-104.77607261757771</c:v>
                </c:pt>
                <c:pt idx="180">
                  <c:v>-104.84308194349286</c:v>
                </c:pt>
                <c:pt idx="181">
                  <c:v>-104.91018245576269</c:v>
                </c:pt>
                <c:pt idx="182">
                  <c:v>-104.97871725945792</c:v>
                </c:pt>
                <c:pt idx="183">
                  <c:v>-105.04734360692623</c:v>
                </c:pt>
                <c:pt idx="184">
                  <c:v>-105.11605987113282</c:v>
                </c:pt>
                <c:pt idx="185">
                  <c:v>-105.18486445920463</c:v>
                </c:pt>
                <c:pt idx="186">
                  <c:v>-105.25564815564027</c:v>
                </c:pt>
                <c:pt idx="187">
                  <c:v>-105.32652178940813</c:v>
                </c:pt>
                <c:pt idx="188">
                  <c:v>-105.39748373965648</c:v>
                </c:pt>
                <c:pt idx="189">
                  <c:v>-105.46853241974286</c:v>
                </c:pt>
                <c:pt idx="190">
                  <c:v>-105.54102461093694</c:v>
                </c:pt>
                <c:pt idx="191">
                  <c:v>-105.61360365143969</c:v>
                </c:pt>
                <c:pt idx="192">
                  <c:v>-105.68626796596301</c:v>
                </c:pt>
                <c:pt idx="193">
                  <c:v>-105.75901601236218</c:v>
                </c:pt>
                <c:pt idx="194">
                  <c:v>-105.83375678111838</c:v>
                </c:pt>
                <c:pt idx="195">
                  <c:v>-105.90858254241915</c:v>
                </c:pt>
                <c:pt idx="196">
                  <c:v>-105.98349173279722</c:v>
                </c:pt>
                <c:pt idx="197">
                  <c:v>-106.05848282179318</c:v>
                </c:pt>
                <c:pt idx="198">
                  <c:v>-106.13519910075814</c:v>
                </c:pt>
                <c:pt idx="199">
                  <c:v>-106.21199777468013</c:v>
                </c:pt>
                <c:pt idx="200">
                  <c:v>-106.28887731156921</c:v>
                </c:pt>
                <c:pt idx="201">
                  <c:v>-106.36583621174671</c:v>
                </c:pt>
                <c:pt idx="202">
                  <c:v>-106.44452463727472</c:v>
                </c:pt>
                <c:pt idx="203">
                  <c:v>-106.52329280043023</c:v>
                </c:pt>
                <c:pt idx="204">
                  <c:v>-106.60213920196924</c:v>
                </c:pt>
                <c:pt idx="205">
                  <c:v>-106.68106237421391</c:v>
                </c:pt>
                <c:pt idx="206">
                  <c:v>-106.76199534259629</c:v>
                </c:pt>
                <c:pt idx="207">
                  <c:v>-106.84300586513803</c:v>
                </c:pt>
                <c:pt idx="208">
                  <c:v>-106.92409246138119</c:v>
                </c:pt>
                <c:pt idx="209">
                  <c:v>-107.00525368206705</c:v>
                </c:pt>
                <c:pt idx="210">
                  <c:v>-107.08870712656137</c:v>
                </c:pt>
                <c:pt idx="211">
                  <c:v>-107.1722363230527</c:v>
                </c:pt>
                <c:pt idx="212">
                  <c:v>-107.25583979772387</c:v>
                </c:pt>
                <c:pt idx="213">
                  <c:v>-107.33951610792109</c:v>
                </c:pt>
                <c:pt idx="214">
                  <c:v>-107.42493394788418</c:v>
                </c:pt>
                <c:pt idx="215">
                  <c:v>-107.51042462009819</c:v>
                </c:pt>
                <c:pt idx="216">
                  <c:v>-107.59598668876902</c:v>
                </c:pt>
                <c:pt idx="217">
                  <c:v>-107.6816187483368</c:v>
                </c:pt>
                <c:pt idx="218">
                  <c:v>-107.76927429913863</c:v>
                </c:pt>
                <c:pt idx="219">
                  <c:v>-107.85700018803965</c:v>
                </c:pt>
                <c:pt idx="220">
                  <c:v>-107.94479500406759</c:v>
                </c:pt>
                <c:pt idx="221">
                  <c:v>-108.03265736591199</c:v>
                </c:pt>
                <c:pt idx="222">
                  <c:v>-108.12254685589372</c:v>
                </c:pt>
                <c:pt idx="223">
                  <c:v>-108.21250410895556</c:v>
                </c:pt>
                <c:pt idx="224">
                  <c:v>-108.30252774035095</c:v>
                </c:pt>
                <c:pt idx="225">
                  <c:v>-108.39261639437208</c:v>
                </c:pt>
                <c:pt idx="226">
                  <c:v>-108.48501633331328</c:v>
                </c:pt>
                <c:pt idx="227">
                  <c:v>-108.57748178272118</c:v>
                </c:pt>
                <c:pt idx="228">
                  <c:v>-108.67001137288446</c:v>
                </c:pt>
                <c:pt idx="229">
                  <c:v>-108.76260376280659</c:v>
                </c:pt>
                <c:pt idx="230">
                  <c:v>-108.95248212119748</c:v>
                </c:pt>
                <c:pt idx="231">
                  <c:v>-109.04751464555945</c:v>
                </c:pt>
                <c:pt idx="232">
                  <c:v>-109.1426076250022</c:v>
                </c:pt>
                <c:pt idx="233">
                  <c:v>-109.24001927573065</c:v>
                </c:pt>
                <c:pt idx="234">
                  <c:v>-109.33749156496424</c:v>
                </c:pt>
                <c:pt idx="235">
                  <c:v>-109.43502315924896</c:v>
                </c:pt>
                <c:pt idx="236">
                  <c:v>-109.53261275298934</c:v>
                </c:pt>
                <c:pt idx="237">
                  <c:v>-109.63224087560064</c:v>
                </c:pt>
                <c:pt idx="238">
                  <c:v>-109.7319267147243</c:v>
                </c:pt>
                <c:pt idx="239">
                  <c:v>-109.83166896853939</c:v>
                </c:pt>
                <c:pt idx="240">
                  <c:v>-109.93146636226449</c:v>
                </c:pt>
                <c:pt idx="241">
                  <c:v>-110.0338713589266</c:v>
                </c:pt>
                <c:pt idx="242">
                  <c:v>-110.13633171942895</c:v>
                </c:pt>
                <c:pt idx="243">
                  <c:v>-110.23884615255838</c:v>
                </c:pt>
                <c:pt idx="244">
                  <c:v>-110.34141339388954</c:v>
                </c:pt>
                <c:pt idx="245">
                  <c:v>-110.44630688090123</c:v>
                </c:pt>
                <c:pt idx="246">
                  <c:v>-110.55125295365407</c:v>
                </c:pt>
                <c:pt idx="247">
                  <c:v>-110.65625034390405</c:v>
                </c:pt>
                <c:pt idx="248">
                  <c:v>-110.76129780958969</c:v>
                </c:pt>
                <c:pt idx="249">
                  <c:v>-110.86895805938552</c:v>
                </c:pt>
                <c:pt idx="250">
                  <c:v>-110.97666829971885</c:v>
                </c:pt>
                <c:pt idx="251">
                  <c:v>-111.08442727629073</c:v>
                </c:pt>
                <c:pt idx="252">
                  <c:v>-111.19223376061561</c:v>
                </c:pt>
                <c:pt idx="253">
                  <c:v>-111.30236963976084</c:v>
                </c:pt>
                <c:pt idx="254">
                  <c:v>-111.41255254896733</c:v>
                </c:pt>
                <c:pt idx="255">
                  <c:v>-111.52278125894908</c:v>
                </c:pt>
                <c:pt idx="256">
                  <c:v>-111.63305456555072</c:v>
                </c:pt>
                <c:pt idx="257">
                  <c:v>-111.74622980180975</c:v>
                </c:pt>
                <c:pt idx="258">
                  <c:v>-111.85944948602845</c:v>
                </c:pt>
                <c:pt idx="259">
                  <c:v>-111.97271239604706</c:v>
                </c:pt>
                <c:pt idx="260">
                  <c:v>-112.08601733462807</c:v>
                </c:pt>
                <c:pt idx="261">
                  <c:v>-112.20193963532034</c:v>
                </c:pt>
                <c:pt idx="262">
                  <c:v>-112.31790344055344</c:v>
                </c:pt>
                <c:pt idx="263">
                  <c:v>-112.43390754612581</c:v>
                </c:pt>
                <c:pt idx="264">
                  <c:v>-112.54995077224116</c:v>
                </c:pt>
                <c:pt idx="265">
                  <c:v>-112.66861196734285</c:v>
                </c:pt>
                <c:pt idx="266">
                  <c:v>-112.78731162316924</c:v>
                </c:pt>
                <c:pt idx="267">
                  <c:v>-112.90604855433504</c:v>
                </c:pt>
                <c:pt idx="268">
                  <c:v>-113.02482159931074</c:v>
                </c:pt>
                <c:pt idx="269">
                  <c:v>-113.14649980197683</c:v>
                </c:pt>
                <c:pt idx="270">
                  <c:v>-113.26821349199039</c:v>
                </c:pt>
                <c:pt idx="271">
                  <c:v>-113.38996149522951</c:v>
                </c:pt>
                <c:pt idx="272">
                  <c:v>-113.5117426610679</c:v>
                </c:pt>
                <c:pt idx="273">
                  <c:v>-113.63642919221559</c:v>
                </c:pt>
                <c:pt idx="274">
                  <c:v>-113.76114810184177</c:v>
                </c:pt>
                <c:pt idx="275">
                  <c:v>-113.88589822834605</c:v>
                </c:pt>
                <c:pt idx="276">
                  <c:v>-114.01067843321792</c:v>
                </c:pt>
                <c:pt idx="277">
                  <c:v>-114.13807610763486</c:v>
                </c:pt>
                <c:pt idx="278">
                  <c:v>-114.26550279465299</c:v>
                </c:pt>
                <c:pt idx="279">
                  <c:v>-114.39295735389213</c:v>
                </c:pt>
                <c:pt idx="280">
                  <c:v>-114.52043866741577</c:v>
                </c:pt>
                <c:pt idx="281">
                  <c:v>-114.65139989935555</c:v>
                </c:pt>
                <c:pt idx="282">
                  <c:v>-114.78238703418378</c:v>
                </c:pt>
                <c:pt idx="283">
                  <c:v>-114.91339893060979</c:v>
                </c:pt>
                <c:pt idx="284">
                  <c:v>-115.04443446970926</c:v>
                </c:pt>
                <c:pt idx="285">
                  <c:v>-115.1780851320803</c:v>
                </c:pt>
                <c:pt idx="286">
                  <c:v>-115.31175809986084</c:v>
                </c:pt>
                <c:pt idx="287">
                  <c:v>-115.44545225441861</c:v>
                </c:pt>
                <c:pt idx="288">
                  <c:v>-115.57916649878401</c:v>
                </c:pt>
                <c:pt idx="289">
                  <c:v>-115.71635861854429</c:v>
                </c:pt>
                <c:pt idx="290">
                  <c:v>-115.85356960939015</c:v>
                </c:pt>
                <c:pt idx="291">
                  <c:v>-115.99079835429548</c:v>
                </c:pt>
                <c:pt idx="292">
                  <c:v>-116.12804375772846</c:v>
                </c:pt>
                <c:pt idx="293">
                  <c:v>-116.26847691845826</c:v>
                </c:pt>
                <c:pt idx="294">
                  <c:v>-116.40892526294756</c:v>
                </c:pt>
                <c:pt idx="295">
                  <c:v>-116.54938768406669</c:v>
                </c:pt>
                <c:pt idx="296">
                  <c:v>-116.68986309578577</c:v>
                </c:pt>
                <c:pt idx="297">
                  <c:v>-116.83352378741399</c:v>
                </c:pt>
                <c:pt idx="298">
                  <c:v>-116.97719583127274</c:v>
                </c:pt>
                <c:pt idx="299">
                  <c:v>-117.12087813087075</c:v>
                </c:pt>
                <c:pt idx="300">
                  <c:v>-117.26456961039422</c:v>
                </c:pt>
                <c:pt idx="301">
                  <c:v>-117.41144338557162</c:v>
                </c:pt>
                <c:pt idx="302">
                  <c:v>-117.55832454185443</c:v>
                </c:pt>
                <c:pt idx="303">
                  <c:v>-117.70521199396701</c:v>
                </c:pt>
                <c:pt idx="304">
                  <c:v>-117.85210467686679</c:v>
                </c:pt>
                <c:pt idx="305">
                  <c:v>-118.00275337732353</c:v>
                </c:pt>
                <c:pt idx="306">
                  <c:v>-118.15340537325092</c:v>
                </c:pt>
                <c:pt idx="307">
                  <c:v>-118.30405957870119</c:v>
                </c:pt>
                <c:pt idx="308">
                  <c:v>-118.4547149278002</c:v>
                </c:pt>
                <c:pt idx="309">
                  <c:v>-118.60854509941008</c:v>
                </c:pt>
                <c:pt idx="310">
                  <c:v>-118.76237427911668</c:v>
                </c:pt>
                <c:pt idx="311">
                  <c:v>-118.91620139360758</c:v>
                </c:pt>
                <c:pt idx="312">
                  <c:v>-119.07002538915063</c:v>
                </c:pt>
                <c:pt idx="313">
                  <c:v>-119.22759687404479</c:v>
                </c:pt>
                <c:pt idx="314">
                  <c:v>-119.38516290826284</c:v>
                </c:pt>
                <c:pt idx="315">
                  <c:v>-119.54272241964269</c:v>
                </c:pt>
                <c:pt idx="316">
                  <c:v>-119.70027435538266</c:v>
                </c:pt>
                <c:pt idx="317">
                  <c:v>-119.86156859978306</c:v>
                </c:pt>
                <c:pt idx="318">
                  <c:v>-120.02285273015339</c:v>
                </c:pt>
                <c:pt idx="319">
                  <c:v>-120.18412567646885</c:v>
                </c:pt>
                <c:pt idx="320">
                  <c:v>-120.34538638781287</c:v>
                </c:pt>
                <c:pt idx="321">
                  <c:v>-120.51038360640447</c:v>
                </c:pt>
                <c:pt idx="322">
                  <c:v>-120.67536584714765</c:v>
                </c:pt>
                <c:pt idx="323">
                  <c:v>-120.84033204299905</c:v>
                </c:pt>
                <c:pt idx="324">
                  <c:v>-121.00528114574743</c:v>
                </c:pt>
                <c:pt idx="325">
                  <c:v>-121.17396033829311</c:v>
                </c:pt>
                <c:pt idx="326">
                  <c:v>-121.34261949242917</c:v>
                </c:pt>
                <c:pt idx="327">
                  <c:v>-121.51125754481282</c:v>
                </c:pt>
                <c:pt idx="328">
                  <c:v>-121.67987345063655</c:v>
                </c:pt>
                <c:pt idx="329">
                  <c:v>-121.85250058872079</c:v>
                </c:pt>
                <c:pt idx="330">
                  <c:v>-122.02510234800553</c:v>
                </c:pt>
                <c:pt idx="331">
                  <c:v>-122.19767766418255</c:v>
                </c:pt>
                <c:pt idx="332">
                  <c:v>-122.37022549128871</c:v>
                </c:pt>
                <c:pt idx="333">
                  <c:v>-122.54648863613087</c:v>
                </c:pt>
                <c:pt idx="334">
                  <c:v>-122.72272093492407</c:v>
                </c:pt>
                <c:pt idx="335">
                  <c:v>-122.8989213284412</c:v>
                </c:pt>
                <c:pt idx="336">
                  <c:v>-123.07508877547249</c:v>
                </c:pt>
                <c:pt idx="337">
                  <c:v>-123.25553881428222</c:v>
                </c:pt>
                <c:pt idx="338">
                  <c:v>-123.4359521152651</c:v>
                </c:pt>
                <c:pt idx="339">
                  <c:v>-123.61632761464193</c:v>
                </c:pt>
                <c:pt idx="340">
                  <c:v>-123.79666426654079</c:v>
                </c:pt>
                <c:pt idx="341">
                  <c:v>-123.98127386576142</c:v>
                </c:pt>
                <c:pt idx="342">
                  <c:v>-124.16584057288455</c:v>
                </c:pt>
                <c:pt idx="343">
                  <c:v>-124.35036332062765</c:v>
                </c:pt>
                <c:pt idx="344">
                  <c:v>-124.53484105948684</c:v>
                </c:pt>
                <c:pt idx="345">
                  <c:v>-124.72329411171712</c:v>
                </c:pt>
                <c:pt idx="346">
                  <c:v>-124.9116980100972</c:v>
                </c:pt>
                <c:pt idx="347">
                  <c:v>-125.10005168965051</c:v>
                </c:pt>
                <c:pt idx="348">
                  <c:v>-125.2883541029269</c:v>
                </c:pt>
                <c:pt idx="349">
                  <c:v>-125.48119502393325</c:v>
                </c:pt>
                <c:pt idx="350">
                  <c:v>-125.67397997675802</c:v>
                </c:pt>
                <c:pt idx="351">
                  <c:v>-125.8667078898594</c:v>
                </c:pt>
                <c:pt idx="352">
                  <c:v>-126.05937770917232</c:v>
                </c:pt>
                <c:pt idx="353">
                  <c:v>-126.25657363733782</c:v>
                </c:pt>
                <c:pt idx="354">
                  <c:v>-126.45370649070689</c:v>
                </c:pt>
                <c:pt idx="355">
                  <c:v>-126.65077519232838</c:v>
                </c:pt>
                <c:pt idx="356">
                  <c:v>-126.84777868266352</c:v>
                </c:pt>
                <c:pt idx="357">
                  <c:v>-127.04900886319703</c:v>
                </c:pt>
                <c:pt idx="358">
                  <c:v>-127.25016877515981</c:v>
                </c:pt>
                <c:pt idx="359">
                  <c:v>-127.45125734187259</c:v>
                </c:pt>
                <c:pt idx="360">
                  <c:v>-127.65227350389571</c:v>
                </c:pt>
                <c:pt idx="361">
                  <c:v>-127.85807451265207</c:v>
                </c:pt>
                <c:pt idx="362">
                  <c:v>-128.06379737681075</c:v>
                </c:pt>
                <c:pt idx="363">
                  <c:v>-128.26944101183281</c:v>
                </c:pt>
                <c:pt idx="364">
                  <c:v>-128.47500435043727</c:v>
                </c:pt>
                <c:pt idx="365">
                  <c:v>-128.68505167680232</c:v>
                </c:pt>
                <c:pt idx="366">
                  <c:v>-128.89501289658293</c:v>
                </c:pt>
                <c:pt idx="367">
                  <c:v>-129.10488692313058</c:v>
                </c:pt>
                <c:pt idx="368">
                  <c:v>-129.31467268697213</c:v>
                </c:pt>
                <c:pt idx="369">
                  <c:v>-129.52949645349614</c:v>
                </c:pt>
                <c:pt idx="370">
                  <c:v>-129.74422536862505</c:v>
                </c:pt>
                <c:pt idx="371">
                  <c:v>-129.95885833606329</c:v>
                </c:pt>
                <c:pt idx="372">
                  <c:v>-130.17339427679104</c:v>
                </c:pt>
                <c:pt idx="373">
                  <c:v>-130.39266579549678</c:v>
                </c:pt>
                <c:pt idx="374">
                  <c:v>-130.61183363472711</c:v>
                </c:pt>
                <c:pt idx="375">
                  <c:v>-130.83089669441063</c:v>
                </c:pt>
                <c:pt idx="376">
                  <c:v>-131.04985389175704</c:v>
                </c:pt>
                <c:pt idx="377">
                  <c:v>-131.27409599920003</c:v>
                </c:pt>
                <c:pt idx="378">
                  <c:v>-131.49822471479794</c:v>
                </c:pt>
                <c:pt idx="379">
                  <c:v>-131.7222389277679</c:v>
                </c:pt>
                <c:pt idx="380">
                  <c:v>-131.94613754479033</c:v>
                </c:pt>
                <c:pt idx="381">
                  <c:v>-132.17473376025475</c:v>
                </c:pt>
                <c:pt idx="382">
                  <c:v>-132.40320709906979</c:v>
                </c:pt>
                <c:pt idx="383">
                  <c:v>-132.63155644989828</c:v>
                </c:pt>
                <c:pt idx="384">
                  <c:v>-132.85978071887433</c:v>
                </c:pt>
                <c:pt idx="385">
                  <c:v>-133.09353020718143</c:v>
                </c:pt>
                <c:pt idx="386">
                  <c:v>-133.32714606570386</c:v>
                </c:pt>
                <c:pt idx="387">
                  <c:v>-133.56062717200143</c:v>
                </c:pt>
                <c:pt idx="388">
                  <c:v>-133.79397242137574</c:v>
                </c:pt>
                <c:pt idx="389">
                  <c:v>-134.03253697790231</c:v>
                </c:pt>
                <c:pt idx="390">
                  <c:v>-134.27095707996011</c:v>
                </c:pt>
                <c:pt idx="391">
                  <c:v>-134.50923160029998</c:v>
                </c:pt>
                <c:pt idx="392">
                  <c:v>-134.74735942960211</c:v>
                </c:pt>
                <c:pt idx="393">
                  <c:v>-134.99068247654483</c:v>
                </c:pt>
                <c:pt idx="394">
                  <c:v>-135.23384987991165</c:v>
                </c:pt>
                <c:pt idx="395">
                  <c:v>-135.47686050985124</c:v>
                </c:pt>
                <c:pt idx="396">
                  <c:v>-135.71971325463497</c:v>
                </c:pt>
                <c:pt idx="397">
                  <c:v>-135.96829702196817</c:v>
                </c:pt>
                <c:pt idx="398">
                  <c:v>-136.21671284075404</c:v>
                </c:pt>
                <c:pt idx="399">
                  <c:v>-136.4649595732356</c:v>
                </c:pt>
                <c:pt idx="400">
                  <c:v>-136.71303610014601</c:v>
                </c:pt>
                <c:pt idx="401">
                  <c:v>-136.96653538941032</c:v>
                </c:pt>
                <c:pt idx="402">
                  <c:v>-137.2198543927199</c:v>
                </c:pt>
                <c:pt idx="403">
                  <c:v>-137.47299197109103</c:v>
                </c:pt>
                <c:pt idx="404">
                  <c:v>-137.72594700432236</c:v>
                </c:pt>
                <c:pt idx="405">
                  <c:v>-137.98457514368678</c:v>
                </c:pt>
                <c:pt idx="406">
                  <c:v>-138.24300986361143</c:v>
                </c:pt>
                <c:pt idx="407">
                  <c:v>-138.50125002308212</c:v>
                </c:pt>
                <c:pt idx="408">
                  <c:v>-138.75929450025086</c:v>
                </c:pt>
                <c:pt idx="409">
                  <c:v>-139.02325915535866</c:v>
                </c:pt>
                <c:pt idx="410">
                  <c:v>-139.28701641065746</c:v>
                </c:pt>
                <c:pt idx="411">
                  <c:v>-139.55056512279683</c:v>
                </c:pt>
                <c:pt idx="412">
                  <c:v>-139.81390416806693</c:v>
                </c:pt>
                <c:pt idx="413">
                  <c:v>-140.08312985146986</c:v>
                </c:pt>
                <c:pt idx="414">
                  <c:v>-140.35213371565447</c:v>
                </c:pt>
                <c:pt idx="415">
                  <c:v>-140.62091461865344</c:v>
                </c:pt>
                <c:pt idx="416">
                  <c:v>-140.8894714386235</c:v>
                </c:pt>
                <c:pt idx="417">
                  <c:v>-141.16415628463753</c:v>
                </c:pt>
                <c:pt idx="418">
                  <c:v>-141.43860399033267</c:v>
                </c:pt>
                <c:pt idx="419">
                  <c:v>-141.71281341565054</c:v>
                </c:pt>
                <c:pt idx="420">
                  <c:v>-141.98678344123158</c:v>
                </c:pt>
                <c:pt idx="421">
                  <c:v>-142.26656863945269</c:v>
                </c:pt>
                <c:pt idx="422">
                  <c:v>-142.54610142344913</c:v>
                </c:pt>
                <c:pt idx="423">
                  <c:v>-142.82538066281194</c:v>
                </c:pt>
                <c:pt idx="424">
                  <c:v>-143.10440524833047</c:v>
                </c:pt>
                <c:pt idx="425">
                  <c:v>-143.39003032825298</c:v>
                </c:pt>
                <c:pt idx="426">
                  <c:v>-143.6753857772006</c:v>
                </c:pt>
                <c:pt idx="427">
                  <c:v>-143.96047046917317</c:v>
                </c:pt>
                <c:pt idx="428">
                  <c:v>-144.24528330012836</c:v>
                </c:pt>
                <c:pt idx="429">
                  <c:v>-144.53637995771658</c:v>
                </c:pt>
                <c:pt idx="430">
                  <c:v>-144.82718980564098</c:v>
                </c:pt>
                <c:pt idx="431">
                  <c:v>-145.11771173093129</c:v>
                </c:pt>
                <c:pt idx="432">
                  <c:v>-145.40794464325558</c:v>
                </c:pt>
                <c:pt idx="433">
                  <c:v>-145.70441804720292</c:v>
                </c:pt>
                <c:pt idx="434">
                  <c:v>-146.00058703074029</c:v>
                </c:pt>
                <c:pt idx="435">
                  <c:v>-146.29645049942241</c:v>
                </c:pt>
                <c:pt idx="436">
                  <c:v>-146.59200738212613</c:v>
                </c:pt>
                <c:pt idx="437">
                  <c:v>-146.8943019718343</c:v>
                </c:pt>
                <c:pt idx="438">
                  <c:v>-147.19627296214995</c:v>
                </c:pt>
                <c:pt idx="439">
                  <c:v>-147.49791927719272</c:v>
                </c:pt>
                <c:pt idx="440">
                  <c:v>-147.79923986526416</c:v>
                </c:pt>
                <c:pt idx="441">
                  <c:v>-148.10724848212172</c:v>
                </c:pt>
                <c:pt idx="442">
                  <c:v>-148.41491385179324</c:v>
                </c:pt>
                <c:pt idx="443">
                  <c:v>-148.72223492369153</c:v>
                </c:pt>
                <c:pt idx="444">
                  <c:v>-149.02921067226794</c:v>
                </c:pt>
                <c:pt idx="445">
                  <c:v>-149.34282322673744</c:v>
                </c:pt>
                <c:pt idx="446">
                  <c:v>-149.65607244937232</c:v>
                </c:pt>
                <c:pt idx="447">
                  <c:v>-149.96895732191126</c:v>
                </c:pt>
                <c:pt idx="448">
                  <c:v>-150.28147685198235</c:v>
                </c:pt>
                <c:pt idx="449">
                  <c:v>-150.60111510242371</c:v>
                </c:pt>
                <c:pt idx="450">
                  <c:v>-150.92036824419159</c:v>
                </c:pt>
                <c:pt idx="451">
                  <c:v>-151.23923529380582</c:v>
                </c:pt>
                <c:pt idx="452">
                  <c:v>-151.55771529469391</c:v>
                </c:pt>
                <c:pt idx="453">
                  <c:v>-151.88298984407453</c:v>
                </c:pt>
                <c:pt idx="454">
                  <c:v>-152.20785771842128</c:v>
                </c:pt>
                <c:pt idx="455">
                  <c:v>-152.53231797973035</c:v>
                </c:pt>
                <c:pt idx="456">
                  <c:v>-152.85636971781895</c:v>
                </c:pt>
                <c:pt idx="457">
                  <c:v>-153.18768761600529</c:v>
                </c:pt>
                <c:pt idx="458">
                  <c:v>-153.51857552833204</c:v>
                </c:pt>
                <c:pt idx="459">
                  <c:v>-153.84903256637625</c:v>
                </c:pt>
                <c:pt idx="460">
                  <c:v>-154.1790578706098</c:v>
                </c:pt>
                <c:pt idx="461">
                  <c:v>-154.51628591275679</c:v>
                </c:pt>
                <c:pt idx="462">
                  <c:v>-154.85306024302156</c:v>
                </c:pt>
                <c:pt idx="463">
                  <c:v>-155.18938003203331</c:v>
                </c:pt>
                <c:pt idx="464">
                  <c:v>-155.52524448035985</c:v>
                </c:pt>
                <c:pt idx="465">
                  <c:v>-155.86850847463498</c:v>
                </c:pt>
                <c:pt idx="466">
                  <c:v>-156.2112939339417</c:v>
                </c:pt>
                <c:pt idx="467">
                  <c:v>-156.5536000960046</c:v>
                </c:pt>
                <c:pt idx="468">
                  <c:v>-156.89542622958683</c:v>
                </c:pt>
                <c:pt idx="469">
                  <c:v>-157.2445830684407</c:v>
                </c:pt>
                <c:pt idx="470">
                  <c:v>-157.59323619082991</c:v>
                </c:pt>
                <c:pt idx="471">
                  <c:v>-157.94138491208494</c:v>
                </c:pt>
                <c:pt idx="472">
                  <c:v>-158.28902857962734</c:v>
                </c:pt>
                <c:pt idx="473">
                  <c:v>-158.64445024800619</c:v>
                </c:pt>
                <c:pt idx="474">
                  <c:v>-158.99934116921611</c:v>
                </c:pt>
                <c:pt idx="475">
                  <c:v>-159.35370074438688</c:v>
                </c:pt>
                <c:pt idx="476">
                  <c:v>-159.70752840792693</c:v>
                </c:pt>
                <c:pt idx="477">
                  <c:v>-160.06905739058899</c:v>
                </c:pt>
                <c:pt idx="478">
                  <c:v>-160.43002826632903</c:v>
                </c:pt>
                <c:pt idx="479">
                  <c:v>-160.79044053413764</c:v>
                </c:pt>
                <c:pt idx="480">
                  <c:v>-161.15029372740179</c:v>
                </c:pt>
                <c:pt idx="481">
                  <c:v>-161.51776991859606</c:v>
                </c:pt>
                <c:pt idx="482">
                  <c:v>-161.88466038052232</c:v>
                </c:pt>
                <c:pt idx="483">
                  <c:v>-162.25096472228498</c:v>
                </c:pt>
                <c:pt idx="484">
                  <c:v>-162.61668258842127</c:v>
                </c:pt>
                <c:pt idx="485">
                  <c:v>-162.99019765371207</c:v>
                </c:pt>
                <c:pt idx="486">
                  <c:v>-163.36309833734666</c:v>
                </c:pt>
                <c:pt idx="487">
                  <c:v>-163.73538437040406</c:v>
                </c:pt>
                <c:pt idx="488">
                  <c:v>-164.10705552043797</c:v>
                </c:pt>
                <c:pt idx="489">
                  <c:v>-164.48694476998708</c:v>
                </c:pt>
                <c:pt idx="490">
                  <c:v>-164.86618910897727</c:v>
                </c:pt>
                <c:pt idx="491">
                  <c:v>-165.24478840308174</c:v>
                </c:pt>
                <c:pt idx="492">
                  <c:v>-165.62274255558106</c:v>
                </c:pt>
                <c:pt idx="493">
                  <c:v>-166.00882428543247</c:v>
                </c:pt>
                <c:pt idx="494">
                  <c:v>-166.39423041086161</c:v>
                </c:pt>
                <c:pt idx="495">
                  <c:v>-166.77896094660719</c:v>
                </c:pt>
                <c:pt idx="496">
                  <c:v>-167.16301594602271</c:v>
                </c:pt>
                <c:pt idx="497">
                  <c:v>-167.55535535946257</c:v>
                </c:pt>
                <c:pt idx="498">
                  <c:v>-167.94698749708499</c:v>
                </c:pt>
                <c:pt idx="499">
                  <c:v>-168.33791253754208</c:v>
                </c:pt>
                <c:pt idx="500">
                  <c:v>-168.72813069907059</c:v>
                </c:pt>
                <c:pt idx="501">
                  <c:v>-169.12678417597223</c:v>
                </c:pt>
                <c:pt idx="502">
                  <c:v>-169.52469775844332</c:v>
                </c:pt>
                <c:pt idx="503">
                  <c:v>-169.92187180488003</c:v>
                </c:pt>
                <c:pt idx="504">
                  <c:v>-170.31830671417691</c:v>
                </c:pt>
                <c:pt idx="505">
                  <c:v>-170.72307661371048</c:v>
                </c:pt>
                <c:pt idx="506">
                  <c:v>-171.1270740271745</c:v>
                </c:pt>
                <c:pt idx="507">
                  <c:v>-171.53029950845982</c:v>
                </c:pt>
                <c:pt idx="508">
                  <c:v>-171.93275365269821</c:v>
                </c:pt>
                <c:pt idx="509">
                  <c:v>-172.34368451744621</c:v>
                </c:pt>
                <c:pt idx="510">
                  <c:v>-172.75380947475759</c:v>
                </c:pt>
                <c:pt idx="511">
                  <c:v>-173.16312929094673</c:v>
                </c:pt>
                <c:pt idx="512">
                  <c:v>-173.57164477422353</c:v>
                </c:pt>
                <c:pt idx="513">
                  <c:v>-173.98901417842546</c:v>
                </c:pt>
                <c:pt idx="514">
                  <c:v>-174.40554250002089</c:v>
                </c:pt>
                <c:pt idx="515">
                  <c:v>-174.82123073732211</c:v>
                </c:pt>
                <c:pt idx="516">
                  <c:v>-175.23607993118418</c:v>
                </c:pt>
                <c:pt idx="517">
                  <c:v>-175.65967038668401</c:v>
                </c:pt>
                <c:pt idx="518">
                  <c:v>-176.08238481878456</c:v>
                </c:pt>
                <c:pt idx="519">
                  <c:v>-176.50422447515396</c:v>
                </c:pt>
                <c:pt idx="520">
                  <c:v>-176.92519064642684</c:v>
                </c:pt>
                <c:pt idx="521">
                  <c:v>-177.35502183571342</c:v>
                </c:pt>
                <c:pt idx="522">
                  <c:v>-177.78394140212052</c:v>
                </c:pt>
                <c:pt idx="523">
                  <c:v>-178.21195086213726</c:v>
                </c:pt>
                <c:pt idx="524">
                  <c:v>-178.63905177550095</c:v>
                </c:pt>
                <c:pt idx="525">
                  <c:v>-179.07513550205661</c:v>
                </c:pt>
                <c:pt idx="526">
                  <c:v>-179.51027141912454</c:v>
                </c:pt>
                <c:pt idx="527">
                  <c:v>-179.94446133224275</c:v>
                </c:pt>
                <c:pt idx="528">
                  <c:v>-180.37770709032321</c:v>
                </c:pt>
                <c:pt idx="529">
                  <c:v>-180.82004753020811</c:v>
                </c:pt>
                <c:pt idx="530">
                  <c:v>-181.26140346612073</c:v>
                </c:pt>
                <c:pt idx="531">
                  <c:v>-181.70177701359989</c:v>
                </c:pt>
                <c:pt idx="532">
                  <c:v>-182.14117033150802</c:v>
                </c:pt>
                <c:pt idx="533">
                  <c:v>-182.58999565480232</c:v>
                </c:pt>
                <c:pt idx="534">
                  <c:v>-183.03779830494199</c:v>
                </c:pt>
                <c:pt idx="535">
                  <c:v>-183.48458073292022</c:v>
                </c:pt>
                <c:pt idx="536">
                  <c:v>-183.93034543290253</c:v>
                </c:pt>
                <c:pt idx="537">
                  <c:v>-184.38518068730141</c:v>
                </c:pt>
                <c:pt idx="538">
                  <c:v>-184.83895688676589</c:v>
                </c:pt>
                <c:pt idx="539">
                  <c:v>-185.29167683243909</c:v>
                </c:pt>
                <c:pt idx="540">
                  <c:v>-185.74334336810418</c:v>
                </c:pt>
                <c:pt idx="541">
                  <c:v>-186.20463229890024</c:v>
                </c:pt>
                <c:pt idx="542">
                  <c:v>-186.66482343075123</c:v>
                </c:pt>
                <c:pt idx="543">
                  <c:v>-187.12391994627225</c:v>
                </c:pt>
                <c:pt idx="544">
                  <c:v>-187.58192507014036</c:v>
                </c:pt>
                <c:pt idx="545">
                  <c:v>-188.04941327989823</c:v>
                </c:pt>
                <c:pt idx="546">
                  <c:v>-188.51576590985547</c:v>
                </c:pt>
                <c:pt idx="547">
                  <c:v>-188.98098654331596</c:v>
                </c:pt>
                <c:pt idx="548">
                  <c:v>-189.44507880475493</c:v>
                </c:pt>
                <c:pt idx="549">
                  <c:v>-189.91873753718306</c:v>
                </c:pt>
                <c:pt idx="550">
                  <c:v>-190.39122291797705</c:v>
                </c:pt>
                <c:pt idx="551">
                  <c:v>-190.86253895505195</c:v>
                </c:pt>
                <c:pt idx="552">
                  <c:v>-191.3326896963699</c:v>
                </c:pt>
                <c:pt idx="553">
                  <c:v>-191.81270551594204</c:v>
                </c:pt>
                <c:pt idx="554">
                  <c:v>-192.29150923546459</c:v>
                </c:pt>
                <c:pt idx="555">
                  <c:v>-192.76910531805939</c:v>
                </c:pt>
                <c:pt idx="556">
                  <c:v>-193.24549826560531</c:v>
                </c:pt>
                <c:pt idx="557">
                  <c:v>-194.21690290778409</c:v>
                </c:pt>
                <c:pt idx="558">
                  <c:v>-195.18332502356239</c:v>
                </c:pt>
                <c:pt idx="559">
                  <c:v>-196.16678539115733</c:v>
                </c:pt>
                <c:pt idx="560">
                  <c:v>-197.14511746057545</c:v>
                </c:pt>
                <c:pt idx="561">
                  <c:v>-198.14139493921942</c:v>
                </c:pt>
                <c:pt idx="562">
                  <c:v>-199.13239172462306</c:v>
                </c:pt>
                <c:pt idx="563">
                  <c:v>-200.13925285638356</c:v>
                </c:pt>
                <c:pt idx="564">
                  <c:v>-201.14070659741074</c:v>
                </c:pt>
                <c:pt idx="565">
                  <c:v>-202.16184843152834</c:v>
                </c:pt>
                <c:pt idx="566">
                  <c:v>-203.17741902127298</c:v>
                </c:pt>
                <c:pt idx="567">
                  <c:v>-204.2122443785214</c:v>
                </c:pt>
                <c:pt idx="568">
                  <c:v>-205.24134382747368</c:v>
                </c:pt>
                <c:pt idx="569">
                  <c:v>-206.28519150289546</c:v>
                </c:pt>
                <c:pt idx="570">
                  <c:v>-207.32321420816234</c:v>
                </c:pt>
                <c:pt idx="571">
                  <c:v>-208.38373544029491</c:v>
                </c:pt>
                <c:pt idx="572">
                  <c:v>-209.43825204535128</c:v>
                </c:pt>
                <c:pt idx="573">
                  <c:v>-210.50679176841888</c:v>
                </c:pt>
                <c:pt idx="574">
                  <c:v>-211.56925046196005</c:v>
                </c:pt>
                <c:pt idx="575">
                  <c:v>-212.65332410045045</c:v>
                </c:pt>
                <c:pt idx="576">
                  <c:v>-213.73116176144799</c:v>
                </c:pt>
                <c:pt idx="577">
                  <c:v>-218.227156995044</c:v>
                </c:pt>
                <c:pt idx="578">
                  <c:v>-222.61943814971426</c:v>
                </c:pt>
                <c:pt idx="579">
                  <c:v>-231.91392150224161</c:v>
                </c:pt>
                <c:pt idx="580">
                  <c:v>-241.6599734120976</c:v>
                </c:pt>
                <c:pt idx="581">
                  <c:v>-251.8997281576419</c:v>
                </c:pt>
                <c:pt idx="582">
                  <c:v>-262.73741852771786</c:v>
                </c:pt>
                <c:pt idx="583">
                  <c:v>-274.330186934003</c:v>
                </c:pt>
                <c:pt idx="584">
                  <c:v>-286.96085213886408</c:v>
                </c:pt>
                <c:pt idx="585">
                  <c:v>-301.06811846868965</c:v>
                </c:pt>
                <c:pt idx="586">
                  <c:v>-317.34751444770734</c:v>
                </c:pt>
                <c:pt idx="587">
                  <c:v>-336.7571356904611</c:v>
                </c:pt>
                <c:pt idx="588">
                  <c:v>-360.0758386826746</c:v>
                </c:pt>
                <c:pt idx="589">
                  <c:v>-206.68497968587957</c:v>
                </c:pt>
                <c:pt idx="590">
                  <c:v>-233.62064309142463</c:v>
                </c:pt>
                <c:pt idx="591">
                  <c:v>-257.94870492977765</c:v>
                </c:pt>
                <c:pt idx="592">
                  <c:v>-279.2857468692934</c:v>
                </c:pt>
                <c:pt idx="593">
                  <c:v>-299.24265132303884</c:v>
                </c:pt>
                <c:pt idx="594">
                  <c:v>-320.62692597386302</c:v>
                </c:pt>
                <c:pt idx="595">
                  <c:v>-348.30137568370043</c:v>
                </c:pt>
                <c:pt idx="596">
                  <c:v>-388.84602394271474</c:v>
                </c:pt>
                <c:pt idx="597">
                  <c:v>-254.91344154655866</c:v>
                </c:pt>
                <c:pt idx="598">
                  <c:v>-290.30726697353657</c:v>
                </c:pt>
                <c:pt idx="599">
                  <c:v>-320.86903930360103</c:v>
                </c:pt>
                <c:pt idx="600">
                  <c:v>-363.16494944082314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1.55119825708061</c:v>
                </c:pt>
                <c:pt idx="55">
                  <c:v>1.5618171548454773</c:v>
                </c:pt>
                <c:pt idx="56">
                  <c:v>1.5724360526103447</c:v>
                </c:pt>
                <c:pt idx="57">
                  <c:v>1.5830549503752116</c:v>
                </c:pt>
                <c:pt idx="58">
                  <c:v>1.593673848140079</c:v>
                </c:pt>
                <c:pt idx="59">
                  <c:v>1.6042927459049463</c:v>
                </c:pt>
                <c:pt idx="60">
                  <c:v>1.6149116436698137</c:v>
                </c:pt>
                <c:pt idx="61">
                  <c:v>1.6255305414346808</c:v>
                </c:pt>
                <c:pt idx="62">
                  <c:v>1.6361494391995481</c:v>
                </c:pt>
                <c:pt idx="63">
                  <c:v>1.6467683369644153</c:v>
                </c:pt>
                <c:pt idx="64">
                  <c:v>1.6573872347292826</c:v>
                </c:pt>
                <c:pt idx="65">
                  <c:v>1.66800613249415</c:v>
                </c:pt>
                <c:pt idx="66">
                  <c:v>1.6786250302590171</c:v>
                </c:pt>
                <c:pt idx="67">
                  <c:v>1.6892439280238845</c:v>
                </c:pt>
                <c:pt idx="68">
                  <c:v>1.6998628257887516</c:v>
                </c:pt>
                <c:pt idx="69">
                  <c:v>1.7104817235536185</c:v>
                </c:pt>
                <c:pt idx="70">
                  <c:v>1.7211006213184858</c:v>
                </c:pt>
                <c:pt idx="71">
                  <c:v>1.7317195190833532</c:v>
                </c:pt>
                <c:pt idx="72">
                  <c:v>1.7423384168482206</c:v>
                </c:pt>
                <c:pt idx="73">
                  <c:v>1.7529573146130879</c:v>
                </c:pt>
                <c:pt idx="74">
                  <c:v>1.763576212377955</c:v>
                </c:pt>
                <c:pt idx="75">
                  <c:v>1.7741951101428226</c:v>
                </c:pt>
                <c:pt idx="76">
                  <c:v>1.78481400790769</c:v>
                </c:pt>
                <c:pt idx="77">
                  <c:v>1.7954329056725571</c:v>
                </c:pt>
                <c:pt idx="78">
                  <c:v>1.8060518034374242</c:v>
                </c:pt>
                <c:pt idx="79">
                  <c:v>1.8166707012022916</c:v>
                </c:pt>
                <c:pt idx="80">
                  <c:v>1.8272895989671589</c:v>
                </c:pt>
                <c:pt idx="81">
                  <c:v>1.8379084967320263</c:v>
                </c:pt>
                <c:pt idx="82">
                  <c:v>1.8485273944968932</c:v>
                </c:pt>
                <c:pt idx="83">
                  <c:v>1.8591462922617605</c:v>
                </c:pt>
                <c:pt idx="84">
                  <c:v>1.8697651900266277</c:v>
                </c:pt>
                <c:pt idx="85">
                  <c:v>1.880384087791495</c:v>
                </c:pt>
                <c:pt idx="86">
                  <c:v>1.8910029855563624</c:v>
                </c:pt>
                <c:pt idx="87">
                  <c:v>1.9016218833212295</c:v>
                </c:pt>
                <c:pt idx="88">
                  <c:v>1.9122407810860969</c:v>
                </c:pt>
                <c:pt idx="89">
                  <c:v>1.9228596788509642</c:v>
                </c:pt>
                <c:pt idx="90">
                  <c:v>1.9334785766158316</c:v>
                </c:pt>
                <c:pt idx="91">
                  <c:v>1.9440974743806987</c:v>
                </c:pt>
                <c:pt idx="92">
                  <c:v>1.954716372145566</c:v>
                </c:pt>
                <c:pt idx="93">
                  <c:v>1.9653352699104332</c:v>
                </c:pt>
                <c:pt idx="94">
                  <c:v>1.9759541676753005</c:v>
                </c:pt>
                <c:pt idx="95">
                  <c:v>1.9865730654401679</c:v>
                </c:pt>
                <c:pt idx="96">
                  <c:v>1.997191963205035</c:v>
                </c:pt>
                <c:pt idx="97">
                  <c:v>2.0078108609699026</c:v>
                </c:pt>
                <c:pt idx="98">
                  <c:v>2.0184297587347695</c:v>
                </c:pt>
                <c:pt idx="99">
                  <c:v>2.0290486564996368</c:v>
                </c:pt>
                <c:pt idx="100">
                  <c:v>2.0396675542645042</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Dual'!$AJ$5:$AJ$105</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12</c:v>
                </c:pt>
                <c:pt idx="1">
                  <c:v>12.36</c:v>
                </c:pt>
                <c:pt idx="2">
                  <c:v>12.72</c:v>
                </c:pt>
                <c:pt idx="3">
                  <c:v>13.08</c:v>
                </c:pt>
                <c:pt idx="4">
                  <c:v>13.44</c:v>
                </c:pt>
                <c:pt idx="5">
                  <c:v>13.8</c:v>
                </c:pt>
                <c:pt idx="6">
                  <c:v>14.16</c:v>
                </c:pt>
                <c:pt idx="7">
                  <c:v>14.52</c:v>
                </c:pt>
                <c:pt idx="8">
                  <c:v>14.879999999999999</c:v>
                </c:pt>
                <c:pt idx="9">
                  <c:v>15.24</c:v>
                </c:pt>
                <c:pt idx="10">
                  <c:v>15.6</c:v>
                </c:pt>
                <c:pt idx="11">
                  <c:v>15.96</c:v>
                </c:pt>
                <c:pt idx="12">
                  <c:v>16.32</c:v>
                </c:pt>
                <c:pt idx="13">
                  <c:v>16.68</c:v>
                </c:pt>
                <c:pt idx="14">
                  <c:v>17.04</c:v>
                </c:pt>
                <c:pt idx="15">
                  <c:v>17.399999999999999</c:v>
                </c:pt>
                <c:pt idx="16">
                  <c:v>17.759999999999998</c:v>
                </c:pt>
                <c:pt idx="17">
                  <c:v>18.12</c:v>
                </c:pt>
                <c:pt idx="18">
                  <c:v>18.48</c:v>
                </c:pt>
                <c:pt idx="19">
                  <c:v>18.84</c:v>
                </c:pt>
                <c:pt idx="20">
                  <c:v>19.2</c:v>
                </c:pt>
                <c:pt idx="21">
                  <c:v>19.559999999999999</c:v>
                </c:pt>
                <c:pt idx="22">
                  <c:v>19.920000000000002</c:v>
                </c:pt>
                <c:pt idx="23">
                  <c:v>20.28</c:v>
                </c:pt>
                <c:pt idx="24">
                  <c:v>20.64</c:v>
                </c:pt>
                <c:pt idx="25">
                  <c:v>21</c:v>
                </c:pt>
                <c:pt idx="26">
                  <c:v>21.36</c:v>
                </c:pt>
                <c:pt idx="27">
                  <c:v>21.72</c:v>
                </c:pt>
                <c:pt idx="28">
                  <c:v>22.080000000000002</c:v>
                </c:pt>
                <c:pt idx="29">
                  <c:v>22.439999999999998</c:v>
                </c:pt>
                <c:pt idx="30">
                  <c:v>22.799999999999997</c:v>
                </c:pt>
                <c:pt idx="31">
                  <c:v>23.16</c:v>
                </c:pt>
                <c:pt idx="32">
                  <c:v>23.52</c:v>
                </c:pt>
                <c:pt idx="33">
                  <c:v>23.880000000000003</c:v>
                </c:pt>
                <c:pt idx="34">
                  <c:v>24.240000000000002</c:v>
                </c:pt>
                <c:pt idx="35">
                  <c:v>24.6</c:v>
                </c:pt>
                <c:pt idx="36">
                  <c:v>24.96</c:v>
                </c:pt>
                <c:pt idx="37">
                  <c:v>25.32</c:v>
                </c:pt>
                <c:pt idx="38">
                  <c:v>25.68</c:v>
                </c:pt>
                <c:pt idx="39">
                  <c:v>26.04</c:v>
                </c:pt>
                <c:pt idx="40">
                  <c:v>26.4</c:v>
                </c:pt>
                <c:pt idx="41">
                  <c:v>26.759999999999998</c:v>
                </c:pt>
                <c:pt idx="42">
                  <c:v>27.119999999999997</c:v>
                </c:pt>
                <c:pt idx="43">
                  <c:v>27.48</c:v>
                </c:pt>
                <c:pt idx="44">
                  <c:v>27.84</c:v>
                </c:pt>
                <c:pt idx="45">
                  <c:v>28.2</c:v>
                </c:pt>
                <c:pt idx="46">
                  <c:v>28.560000000000002</c:v>
                </c:pt>
                <c:pt idx="47">
                  <c:v>28.919999999999998</c:v>
                </c:pt>
                <c:pt idx="48">
                  <c:v>29.28</c:v>
                </c:pt>
                <c:pt idx="49">
                  <c:v>29.64</c:v>
                </c:pt>
                <c:pt idx="50">
                  <c:v>30</c:v>
                </c:pt>
                <c:pt idx="51">
                  <c:v>30.36</c:v>
                </c:pt>
                <c:pt idx="52">
                  <c:v>30.72</c:v>
                </c:pt>
                <c:pt idx="53">
                  <c:v>31.080000000000002</c:v>
                </c:pt>
                <c:pt idx="54">
                  <c:v>31.44</c:v>
                </c:pt>
                <c:pt idx="55">
                  <c:v>31.8</c:v>
                </c:pt>
                <c:pt idx="56">
                  <c:v>32.160000000000004</c:v>
                </c:pt>
                <c:pt idx="57">
                  <c:v>32.519999999999996</c:v>
                </c:pt>
                <c:pt idx="58">
                  <c:v>32.879999999999995</c:v>
                </c:pt>
                <c:pt idx="59">
                  <c:v>33.239999999999995</c:v>
                </c:pt>
                <c:pt idx="60">
                  <c:v>33.599999999999994</c:v>
                </c:pt>
                <c:pt idx="61">
                  <c:v>33.96</c:v>
                </c:pt>
                <c:pt idx="62">
                  <c:v>34.32</c:v>
                </c:pt>
                <c:pt idx="63">
                  <c:v>34.68</c:v>
                </c:pt>
                <c:pt idx="64">
                  <c:v>35.04</c:v>
                </c:pt>
                <c:pt idx="65">
                  <c:v>35.400000000000006</c:v>
                </c:pt>
                <c:pt idx="66">
                  <c:v>35.760000000000005</c:v>
                </c:pt>
                <c:pt idx="67">
                  <c:v>36.120000000000005</c:v>
                </c:pt>
                <c:pt idx="68">
                  <c:v>36.480000000000004</c:v>
                </c:pt>
                <c:pt idx="69">
                  <c:v>36.839999999999996</c:v>
                </c:pt>
                <c:pt idx="70">
                  <c:v>37.200000000000003</c:v>
                </c:pt>
                <c:pt idx="71">
                  <c:v>37.56</c:v>
                </c:pt>
                <c:pt idx="72">
                  <c:v>37.92</c:v>
                </c:pt>
                <c:pt idx="73">
                  <c:v>38.28</c:v>
                </c:pt>
                <c:pt idx="74">
                  <c:v>38.64</c:v>
                </c:pt>
                <c:pt idx="75">
                  <c:v>39</c:v>
                </c:pt>
                <c:pt idx="76">
                  <c:v>39.36</c:v>
                </c:pt>
                <c:pt idx="77">
                  <c:v>39.72</c:v>
                </c:pt>
                <c:pt idx="78">
                  <c:v>40.08</c:v>
                </c:pt>
                <c:pt idx="79">
                  <c:v>40.44</c:v>
                </c:pt>
                <c:pt idx="80">
                  <c:v>40.799999999999997</c:v>
                </c:pt>
                <c:pt idx="81">
                  <c:v>41.160000000000004</c:v>
                </c:pt>
                <c:pt idx="82">
                  <c:v>41.519999999999996</c:v>
                </c:pt>
                <c:pt idx="83">
                  <c:v>41.879999999999995</c:v>
                </c:pt>
                <c:pt idx="84">
                  <c:v>42.239999999999995</c:v>
                </c:pt>
                <c:pt idx="85">
                  <c:v>42.599999999999994</c:v>
                </c:pt>
                <c:pt idx="86">
                  <c:v>42.96</c:v>
                </c:pt>
                <c:pt idx="87">
                  <c:v>43.32</c:v>
                </c:pt>
                <c:pt idx="88">
                  <c:v>43.68</c:v>
                </c:pt>
                <c:pt idx="89">
                  <c:v>44.04</c:v>
                </c:pt>
                <c:pt idx="90">
                  <c:v>44.4</c:v>
                </c:pt>
                <c:pt idx="91">
                  <c:v>44.76</c:v>
                </c:pt>
                <c:pt idx="92">
                  <c:v>45.120000000000005</c:v>
                </c:pt>
                <c:pt idx="93">
                  <c:v>45.480000000000004</c:v>
                </c:pt>
                <c:pt idx="94">
                  <c:v>45.839999999999996</c:v>
                </c:pt>
                <c:pt idx="95">
                  <c:v>46.199999999999996</c:v>
                </c:pt>
                <c:pt idx="96">
                  <c:v>46.56</c:v>
                </c:pt>
                <c:pt idx="97">
                  <c:v>46.92</c:v>
                </c:pt>
                <c:pt idx="98">
                  <c:v>47.28</c:v>
                </c:pt>
                <c:pt idx="99">
                  <c:v>47.64</c:v>
                </c:pt>
                <c:pt idx="100">
                  <c:v>48</c:v>
                </c:pt>
              </c:numCache>
            </c:numRef>
          </c:xVal>
          <c:yVal>
            <c:numRef>
              <c:f>'Fsw vs VIN'!$M$6:$M$106</c:f>
              <c:numCache>
                <c:formatCode>0.0</c:formatCode>
                <c:ptCount val="101"/>
                <c:pt idx="0">
                  <c:v>259.5208839534003</c:v>
                </c:pt>
                <c:pt idx="1">
                  <c:v>269.1549856426056</c:v>
                </c:pt>
                <c:pt idx="2">
                  <c:v>278.74411115207903</c:v>
                </c:pt>
                <c:pt idx="3">
                  <c:v>288.28419678878549</c:v>
                </c:pt>
                <c:pt idx="4">
                  <c:v>297.77159545700374</c:v>
                </c:pt>
                <c:pt idx="5">
                  <c:v>307.20304142735398</c:v>
                </c:pt>
                <c:pt idx="6">
                  <c:v>316.57561816964079</c:v>
                </c:pt>
                <c:pt idx="7">
                  <c:v>325.8867289640018</c:v>
                </c:pt>
                <c:pt idx="8">
                  <c:v>335.1340700335968</c:v>
                </c:pt>
                <c:pt idx="9">
                  <c:v>344.31560596769924</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3.3750000000000004E-3</c:v>
                </c:pt>
                <c:pt idx="1">
                  <c:v>6.8000000000000014E-3</c:v>
                </c:pt>
                <c:pt idx="2">
                  <c:v>1.3600000000000003E-2</c:v>
                </c:pt>
                <c:pt idx="3">
                  <c:v>2.0400000000000001E-2</c:v>
                </c:pt>
                <c:pt idx="4">
                  <c:v>2.7200000000000005E-2</c:v>
                </c:pt>
                <c:pt idx="5">
                  <c:v>3.4000000000000009E-2</c:v>
                </c:pt>
                <c:pt idx="6">
                  <c:v>4.0800000000000003E-2</c:v>
                </c:pt>
                <c:pt idx="7">
                  <c:v>4.7600000000000017E-2</c:v>
                </c:pt>
                <c:pt idx="8">
                  <c:v>5.4400000000000011E-2</c:v>
                </c:pt>
                <c:pt idx="9">
                  <c:v>6.1199999999999997E-2</c:v>
                </c:pt>
                <c:pt idx="10">
                  <c:v>6.8000000000000019E-2</c:v>
                </c:pt>
                <c:pt idx="11">
                  <c:v>7.4800000000000019E-2</c:v>
                </c:pt>
                <c:pt idx="12">
                  <c:v>8.1600000000000006E-2</c:v>
                </c:pt>
                <c:pt idx="13">
                  <c:v>8.8400000000000034E-2</c:v>
                </c:pt>
                <c:pt idx="14">
                  <c:v>9.8685621402537393E-2</c:v>
                </c:pt>
                <c:pt idx="15">
                  <c:v>0.10562315087138804</c:v>
                </c:pt>
                <c:pt idx="16">
                  <c:v>0.10908712114635713</c:v>
                </c:pt>
                <c:pt idx="17">
                  <c:v>0.11244443072024508</c:v>
                </c:pt>
                <c:pt idx="18">
                  <c:v>0.11570436465406134</c:v>
                </c:pt>
                <c:pt idx="19">
                  <c:v>0.11887493427968743</c:v>
                </c:pt>
                <c:pt idx="20">
                  <c:v>0.12196310917650467</c:v>
                </c:pt>
                <c:pt idx="21">
                  <c:v>0.12497499749949986</c:v>
                </c:pt>
                <c:pt idx="22">
                  <c:v>0.12791598805466031</c:v>
                </c:pt>
                <c:pt idx="23">
                  <c:v>0.1307908635952833</c:v>
                </c:pt>
                <c:pt idx="24">
                  <c:v>0.13360389215887386</c:v>
                </c:pt>
                <c:pt idx="25">
                  <c:v>0.13635890143294641</c:v>
                </c:pt>
                <c:pt idx="26">
                  <c:v>0.1390593398517338</c:v>
                </c:pt>
                <c:pt idx="27">
                  <c:v>0.14170832720768389</c:v>
                </c:pt>
                <c:pt idx="28">
                  <c:v>0.14430869689661813</c:v>
                </c:pt>
                <c:pt idx="29">
                  <c:v>0.14686303142724513</c:v>
                </c:pt>
                <c:pt idx="30">
                  <c:v>0.14937369246289656</c:v>
                </c:pt>
                <c:pt idx="31">
                  <c:v>0.15184284639060214</c:v>
                </c:pt>
                <c:pt idx="32">
                  <c:v>0.15427248620541512</c:v>
                </c:pt>
                <c:pt idx="33">
                  <c:v>0.15666445033893298</c:v>
                </c:pt>
                <c:pt idx="34">
                  <c:v>0.1590204389378925</c:v>
                </c:pt>
                <c:pt idx="35">
                  <c:v>0.16134202800262554</c:v>
                </c:pt>
                <c:pt idx="36">
                  <c:v>0.16363068171953568</c:v>
                </c:pt>
                <c:pt idx="37">
                  <c:v>0.16588776326179094</c:v>
                </c:pt>
                <c:pt idx="38">
                  <c:v>0.16811454428454431</c:v>
                </c:pt>
                <c:pt idx="39">
                  <c:v>0.17031221330251101</c:v>
                </c:pt>
                <c:pt idx="40">
                  <c:v>0.17248188310660342</c:v>
                </c:pt>
                <c:pt idx="41">
                  <c:v>0.17462459735100319</c:v>
                </c:pt>
                <c:pt idx="42">
                  <c:v>0.17674133642133635</c:v>
                </c:pt>
                <c:pt idx="43">
                  <c:v>0.17883302267758042</c:v>
                </c:pt>
                <c:pt idx="44">
                  <c:v>0.1809005251512554</c:v>
                </c:pt>
                <c:pt idx="45">
                  <c:v>0.18294466376475702</c:v>
                </c:pt>
                <c:pt idx="46">
                  <c:v>0.18496621313093908</c:v>
                </c:pt>
                <c:pt idx="47">
                  <c:v>0.18696590598288235</c:v>
                </c:pt>
                <c:pt idx="48">
                  <c:v>0.18894443627691182</c:v>
                </c:pt>
                <c:pt idx="49">
                  <c:v>0.19090246200612501</c:v>
                </c:pt>
                <c:pt idx="50">
                  <c:v>0.19284060775676889</c:v>
                </c:pt>
                <c:pt idx="51">
                  <c:v>0.19475946703562322</c:v>
                </c:pt>
                <c:pt idx="52">
                  <c:v>0.19665960439297134</c:v>
                </c:pt>
                <c:pt idx="53">
                  <c:v>0.19854155736268411</c:v>
                </c:pt>
                <c:pt idx="54">
                  <c:v>0.20040583823831082</c:v>
                </c:pt>
                <c:pt idx="55">
                  <c:v>0.20225293570180877</c:v>
                </c:pt>
                <c:pt idx="56">
                  <c:v>0.20408331631958554</c:v>
                </c:pt>
                <c:pt idx="57">
                  <c:v>0.20589742591882976</c:v>
                </c:pt>
                <c:pt idx="58">
                  <c:v>0.20769569085563622</c:v>
                </c:pt>
                <c:pt idx="59">
                  <c:v>0.20947851918514224</c:v>
                </c:pt>
                <c:pt idx="60">
                  <c:v>0.21124630174277609</c:v>
                </c:pt>
                <c:pt idx="61">
                  <c:v>0.21299941314473145</c:v>
                </c:pt>
                <c:pt idx="62">
                  <c:v>0.2147382127149241</c:v>
                </c:pt>
                <c:pt idx="63">
                  <c:v>0.21646304534492719</c:v>
                </c:pt>
                <c:pt idx="64">
                  <c:v>0.21817424229271426</c:v>
                </c:pt>
                <c:pt idx="65">
                  <c:v>0.21987212192545008</c:v>
                </c:pt>
                <c:pt idx="66">
                  <c:v>0.22155699041104523</c:v>
                </c:pt>
                <c:pt idx="67">
                  <c:v>0.22322914236273006</c:v>
                </c:pt>
                <c:pt idx="68">
                  <c:v>0.22488886144049017</c:v>
                </c:pt>
                <c:pt idx="69">
                  <c:v>0.22653642091284126</c:v>
                </c:pt>
                <c:pt idx="70">
                  <c:v>0.22817208418209267</c:v>
                </c:pt>
                <c:pt idx="71">
                  <c:v>0.22979610527595981</c:v>
                </c:pt>
                <c:pt idx="72">
                  <c:v>0.23140872930812267</c:v>
                </c:pt>
                <c:pt idx="73">
                  <c:v>0.2330101929100957</c:v>
                </c:pt>
                <c:pt idx="74">
                  <c:v>0.23460072463656201</c:v>
                </c:pt>
                <c:pt idx="75">
                  <c:v>0.23618054534613983</c:v>
                </c:pt>
                <c:pt idx="76">
                  <c:v>0.23774986855937486</c:v>
                </c:pt>
                <c:pt idx="77">
                  <c:v>0.23930890079560349</c:v>
                </c:pt>
                <c:pt idx="78">
                  <c:v>0.24085784189019052</c:v>
                </c:pt>
                <c:pt idx="79">
                  <c:v>0.24239688529352021</c:v>
                </c:pt>
                <c:pt idx="80">
                  <c:v>0.24392621835300934</c:v>
                </c:pt>
                <c:pt idx="81">
                  <c:v>0.24544602257930359</c:v>
                </c:pt>
                <c:pt idx="82">
                  <c:v>0.24695647389772959</c:v>
                </c:pt>
                <c:pt idx="83">
                  <c:v>0.24845774288598854</c:v>
                </c:pt>
                <c:pt idx="84">
                  <c:v>0.24994999499899972</c:v>
                </c:pt>
                <c:pt idx="85">
                  <c:v>0.25143339078173366</c:v>
                </c:pt>
                <c:pt idx="86">
                  <c:v>0.2529080860708095</c:v>
                </c:pt>
                <c:pt idx="87">
                  <c:v>0.25437423218557337</c:v>
                </c:pt>
                <c:pt idx="88">
                  <c:v>0.25583197610932062</c:v>
                </c:pt>
                <c:pt idx="89">
                  <c:v>0.25728146066127655</c:v>
                </c:pt>
                <c:pt idx="90">
                  <c:v>0.25872282465990509</c:v>
                </c:pt>
                <c:pt idx="91">
                  <c:v>0.26015620307807386</c:v>
                </c:pt>
                <c:pt idx="92">
                  <c:v>0.2615817271905666</c:v>
                </c:pt>
                <c:pt idx="93">
                  <c:v>0.26299952471439941</c:v>
                </c:pt>
                <c:pt idx="94">
                  <c:v>0.26440971994236517</c:v>
                </c:pt>
                <c:pt idx="95">
                  <c:v>0.26581243387020104</c:v>
                </c:pt>
                <c:pt idx="96">
                  <c:v>0.26720778431774772</c:v>
                </c:pt>
                <c:pt idx="97">
                  <c:v>0.26859588604444412</c:v>
                </c:pt>
                <c:pt idx="98">
                  <c:v>0.26997685085947648</c:v>
                </c:pt>
                <c:pt idx="99">
                  <c:v>0.27135078772688315</c:v>
                </c:pt>
                <c:pt idx="100">
                  <c:v>0.27271780286589281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9.0000000000000011E-3</c:v>
                </c:pt>
                <c:pt idx="1">
                  <c:v>1.8133333333333338E-2</c:v>
                </c:pt>
                <c:pt idx="2">
                  <c:v>3.6266666666666676E-2</c:v>
                </c:pt>
                <c:pt idx="3">
                  <c:v>5.4400000000000004E-2</c:v>
                </c:pt>
                <c:pt idx="4">
                  <c:v>7.2533333333333352E-2</c:v>
                </c:pt>
                <c:pt idx="5">
                  <c:v>9.0666666666666687E-2</c:v>
                </c:pt>
                <c:pt idx="6">
                  <c:v>0.10880000000000001</c:v>
                </c:pt>
                <c:pt idx="7">
                  <c:v>0.12693333333333337</c:v>
                </c:pt>
                <c:pt idx="8">
                  <c:v>0.1450666666666667</c:v>
                </c:pt>
                <c:pt idx="9">
                  <c:v>0.16319999999999998</c:v>
                </c:pt>
                <c:pt idx="10">
                  <c:v>0.18133333333333337</c:v>
                </c:pt>
                <c:pt idx="11">
                  <c:v>0.19946666666666674</c:v>
                </c:pt>
                <c:pt idx="12">
                  <c:v>0.21760000000000002</c:v>
                </c:pt>
                <c:pt idx="13">
                  <c:v>0.23573333333333341</c:v>
                </c:pt>
                <c:pt idx="14">
                  <c:v>0.25386666666666674</c:v>
                </c:pt>
                <c:pt idx="15">
                  <c:v>0.26720778431774778</c:v>
                </c:pt>
                <c:pt idx="16">
                  <c:v>0.27597101297056542</c:v>
                </c:pt>
                <c:pt idx="17">
                  <c:v>0.28446440902158565</c:v>
                </c:pt>
                <c:pt idx="18">
                  <c:v>0.2927114620236112</c:v>
                </c:pt>
                <c:pt idx="19">
                  <c:v>0.30073243922131182</c:v>
                </c:pt>
                <c:pt idx="20">
                  <c:v>0.30854497241083029</c:v>
                </c:pt>
                <c:pt idx="21">
                  <c:v>0.31616451413781405</c:v>
                </c:pt>
                <c:pt idx="22">
                  <c:v>0.32360469712289414</c:v>
                </c:pt>
                <c:pt idx="23">
                  <c:v>0.33087762088119527</c:v>
                </c:pt>
                <c:pt idx="24">
                  <c:v>0.33799408278844167</c:v>
                </c:pt>
                <c:pt idx="25">
                  <c:v>0.34496376621320674</c:v>
                </c:pt>
                <c:pt idx="26">
                  <c:v>0.35179539508072022</c:v>
                </c:pt>
                <c:pt idx="27">
                  <c:v>0.35849686191095165</c:v>
                </c:pt>
                <c:pt idx="28">
                  <c:v>0.36507533469134834</c:v>
                </c:pt>
                <c:pt idx="29">
                  <c:v>0.3715373467095871</c:v>
                </c:pt>
                <c:pt idx="30">
                  <c:v>0.37788887255382364</c:v>
                </c:pt>
                <c:pt idx="31">
                  <c:v>0.38413539279790393</c:v>
                </c:pt>
                <c:pt idx="32">
                  <c:v>0.39028194936481497</c:v>
                </c:pt>
                <c:pt idx="33">
                  <c:v>0.396333193159493</c:v>
                </c:pt>
                <c:pt idx="34">
                  <c:v>0.40229342525077388</c:v>
                </c:pt>
                <c:pt idx="35">
                  <c:v>0.40816663263917108</c:v>
                </c:pt>
                <c:pt idx="36">
                  <c:v>0.4139565194558481</c:v>
                </c:pt>
                <c:pt idx="37">
                  <c:v>0.41966653428644979</c:v>
                </c:pt>
                <c:pt idx="38">
                  <c:v>0.42529989419232167</c:v>
                </c:pt>
                <c:pt idx="39">
                  <c:v>0.4308596059042899</c:v>
                </c:pt>
                <c:pt idx="40">
                  <c:v>0.43634848458542858</c:v>
                </c:pt>
                <c:pt idx="41">
                  <c:v>0.44176917049518077</c:v>
                </c:pt>
                <c:pt idx="42">
                  <c:v>0.44712414383479687</c:v>
                </c:pt>
                <c:pt idx="43">
                  <c:v>0.45241573801095819</c:v>
                </c:pt>
                <c:pt idx="44">
                  <c:v>0.45764615151883453</c:v>
                </c:pt>
                <c:pt idx="45">
                  <c:v>0.46281745861624535</c:v>
                </c:pt>
                <c:pt idx="46">
                  <c:v>0.46793161893592961</c:v>
                </c:pt>
                <c:pt idx="47">
                  <c:v>0.47299048616224837</c:v>
                </c:pt>
                <c:pt idx="48">
                  <c:v>0.47799581588126888</c:v>
                </c:pt>
                <c:pt idx="49">
                  <c:v>0.48294927269848947</c:v>
                </c:pt>
                <c:pt idx="50">
                  <c:v>0.48785243670601869</c:v>
                </c:pt>
                <c:pt idx="51">
                  <c:v>0.49270680937044098</c:v>
                </c:pt>
                <c:pt idx="52">
                  <c:v>0.49751381890355562</c:v>
                </c:pt>
                <c:pt idx="53">
                  <c:v>0.50227482517044397</c:v>
                </c:pt>
                <c:pt idx="54">
                  <c:v>0.50699112418266268</c:v>
                </c:pt>
                <c:pt idx="55">
                  <c:v>0.51166395221864125</c:v>
                </c:pt>
                <c:pt idx="56">
                  <c:v>0.51629448960840163</c:v>
                </c:pt>
                <c:pt idx="57">
                  <c:v>0.52088386421543142</c:v>
                </c:pt>
                <c:pt idx="58">
                  <c:v>0.52543315464481299</c:v>
                </c:pt>
                <c:pt idx="59">
                  <c:v>0.52994339320346273</c:v>
                </c:pt>
                <c:pt idx="60">
                  <c:v>0.53441556863549555</c:v>
                </c:pt>
                <c:pt idx="61">
                  <c:v>0.53885062865324751</c:v>
                </c:pt>
                <c:pt idx="62">
                  <c:v>0.54324948228231196</c:v>
                </c:pt>
                <c:pt idx="63">
                  <c:v>0.54761300203702246</c:v>
                </c:pt>
                <c:pt idx="64">
                  <c:v>0.55194202594113084</c:v>
                </c:pt>
                <c:pt idx="65">
                  <c:v>0.55623735940693519</c:v>
                </c:pt>
                <c:pt idx="66">
                  <c:v>0.56049977698479059</c:v>
                </c:pt>
                <c:pt idx="67">
                  <c:v>0.56473002399376626</c:v>
                </c:pt>
                <c:pt idx="68">
                  <c:v>0.5689288180431713</c:v>
                </c:pt>
                <c:pt idx="69">
                  <c:v>0.57309685045374315</c:v>
                </c:pt>
                <c:pt idx="70">
                  <c:v>0.57723478758647251</c:v>
                </c:pt>
                <c:pt idx="71">
                  <c:v>0.58134327208629488</c:v>
                </c:pt>
                <c:pt idx="72">
                  <c:v>0.5854229240472224</c:v>
                </c:pt>
                <c:pt idx="73">
                  <c:v>0.58947434210489591</c:v>
                </c:pt>
                <c:pt idx="74">
                  <c:v>0.59349810446201079</c:v>
                </c:pt>
                <c:pt idx="75">
                  <c:v>0.59071379363587462</c:v>
                </c:pt>
                <c:pt idx="76">
                  <c:v>0.58681465007651923</c:v>
                </c:pt>
                <c:pt idx="77">
                  <c:v>0.58299171263825833</c:v>
                </c:pt>
                <c:pt idx="78">
                  <c:v>0.57924253090341293</c:v>
                </c:pt>
                <c:pt idx="79">
                  <c:v>0.57556476336512352</c:v>
                </c:pt>
                <c:pt idx="80">
                  <c:v>0.57195617128168696</c:v>
                </c:pt>
                <c:pt idx="81">
                  <c:v>0.62006079027355621</c:v>
                </c:pt>
                <c:pt idx="82">
                  <c:v>0.62006079027355632</c:v>
                </c:pt>
                <c:pt idx="83">
                  <c:v>0.62006079027355621</c:v>
                </c:pt>
                <c:pt idx="84">
                  <c:v>0.62006079027355643</c:v>
                </c:pt>
                <c:pt idx="85">
                  <c:v>0.62006079027355621</c:v>
                </c:pt>
                <c:pt idx="86">
                  <c:v>0.6200607902735561</c:v>
                </c:pt>
                <c:pt idx="87">
                  <c:v>0.6200607902735561</c:v>
                </c:pt>
                <c:pt idx="88">
                  <c:v>0.62006079027355621</c:v>
                </c:pt>
                <c:pt idx="89">
                  <c:v>0.62006079027355632</c:v>
                </c:pt>
                <c:pt idx="90">
                  <c:v>0.62006079027355632</c:v>
                </c:pt>
                <c:pt idx="91">
                  <c:v>0.62006079027355621</c:v>
                </c:pt>
                <c:pt idx="92">
                  <c:v>0.62006079027355632</c:v>
                </c:pt>
                <c:pt idx="93">
                  <c:v>0.62006079027355632</c:v>
                </c:pt>
                <c:pt idx="94">
                  <c:v>0.62006079027355632</c:v>
                </c:pt>
                <c:pt idx="95">
                  <c:v>0.62006079027355621</c:v>
                </c:pt>
                <c:pt idx="96">
                  <c:v>0.62006079027355621</c:v>
                </c:pt>
                <c:pt idx="97">
                  <c:v>0.62006079027355621</c:v>
                </c:pt>
                <c:pt idx="98">
                  <c:v>0.62006079027355643</c:v>
                </c:pt>
                <c:pt idx="99">
                  <c:v>0.62006079027355621</c:v>
                </c:pt>
                <c:pt idx="100">
                  <c:v>0.62006079027355632</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2.2500000000000003E-3</c:v>
                </c:pt>
                <c:pt idx="1">
                  <c:v>4.5333333333333345E-3</c:v>
                </c:pt>
                <c:pt idx="2">
                  <c:v>9.0666666666666691E-3</c:v>
                </c:pt>
                <c:pt idx="3">
                  <c:v>1.3600000000000001E-2</c:v>
                </c:pt>
                <c:pt idx="4">
                  <c:v>1.8133333333333338E-2</c:v>
                </c:pt>
                <c:pt idx="5">
                  <c:v>2.2666666666666672E-2</c:v>
                </c:pt>
                <c:pt idx="6">
                  <c:v>2.7200000000000002E-2</c:v>
                </c:pt>
                <c:pt idx="7">
                  <c:v>3.1733333333333343E-2</c:v>
                </c:pt>
                <c:pt idx="8">
                  <c:v>3.6266666666666676E-2</c:v>
                </c:pt>
                <c:pt idx="9">
                  <c:v>4.0799999999999996E-2</c:v>
                </c:pt>
                <c:pt idx="10">
                  <c:v>4.5333333333333344E-2</c:v>
                </c:pt>
                <c:pt idx="11">
                  <c:v>4.9866666666666684E-2</c:v>
                </c:pt>
                <c:pt idx="12">
                  <c:v>5.4400000000000004E-2</c:v>
                </c:pt>
                <c:pt idx="13">
                  <c:v>5.8933333333333351E-2</c:v>
                </c:pt>
                <c:pt idx="14">
                  <c:v>6.3466666666666685E-2</c:v>
                </c:pt>
                <c:pt idx="15">
                  <c:v>6.6801946079436944E-2</c:v>
                </c:pt>
                <c:pt idx="16">
                  <c:v>6.8992753242641355E-2</c:v>
                </c:pt>
                <c:pt idx="17">
                  <c:v>7.1116102255396413E-2</c:v>
                </c:pt>
                <c:pt idx="18">
                  <c:v>7.31778655059028E-2</c:v>
                </c:pt>
                <c:pt idx="19">
                  <c:v>7.5183109805327955E-2</c:v>
                </c:pt>
                <c:pt idx="20">
                  <c:v>7.7136243102707572E-2</c:v>
                </c:pt>
                <c:pt idx="21">
                  <c:v>7.9041128534453511E-2</c:v>
                </c:pt>
                <c:pt idx="22">
                  <c:v>8.0901174280723534E-2</c:v>
                </c:pt>
                <c:pt idx="23">
                  <c:v>8.2719405220298817E-2</c:v>
                </c:pt>
                <c:pt idx="24">
                  <c:v>8.4498520697110419E-2</c:v>
                </c:pt>
                <c:pt idx="25">
                  <c:v>8.6240941553301684E-2</c:v>
                </c:pt>
                <c:pt idx="26">
                  <c:v>8.7948848770180055E-2</c:v>
                </c:pt>
                <c:pt idx="27">
                  <c:v>8.9624215477737912E-2</c:v>
                </c:pt>
                <c:pt idx="28">
                  <c:v>9.1268833672837085E-2</c:v>
                </c:pt>
                <c:pt idx="29">
                  <c:v>9.2884336677396775E-2</c:v>
                </c:pt>
                <c:pt idx="30">
                  <c:v>9.447221813845591E-2</c:v>
                </c:pt>
                <c:pt idx="31">
                  <c:v>9.6033848199475982E-2</c:v>
                </c:pt>
                <c:pt idx="32">
                  <c:v>9.7570487341203743E-2</c:v>
                </c:pt>
                <c:pt idx="33">
                  <c:v>9.9083298289873251E-2</c:v>
                </c:pt>
                <c:pt idx="34">
                  <c:v>0.10057335631269347</c:v>
                </c:pt>
                <c:pt idx="35">
                  <c:v>0.10204165815979277</c:v>
                </c:pt>
                <c:pt idx="36">
                  <c:v>0.10348912986396203</c:v>
                </c:pt>
                <c:pt idx="37">
                  <c:v>0.10491663357161245</c:v>
                </c:pt>
                <c:pt idx="38">
                  <c:v>0.10632497354808042</c:v>
                </c:pt>
                <c:pt idx="39">
                  <c:v>0.10771490147607247</c:v>
                </c:pt>
                <c:pt idx="40">
                  <c:v>0.10908712114635714</c:v>
                </c:pt>
                <c:pt idx="41">
                  <c:v>0.11044229262379519</c:v>
                </c:pt>
                <c:pt idx="42">
                  <c:v>0.11178103595869922</c:v>
                </c:pt>
                <c:pt idx="43">
                  <c:v>0.11310393450273955</c:v>
                </c:pt>
                <c:pt idx="44">
                  <c:v>0.11441153787970863</c:v>
                </c:pt>
                <c:pt idx="45">
                  <c:v>0.11570436465406134</c:v>
                </c:pt>
                <c:pt idx="46">
                  <c:v>0.1169829047339824</c:v>
                </c:pt>
                <c:pt idx="47">
                  <c:v>0.11824762154056209</c:v>
                </c:pt>
                <c:pt idx="48">
                  <c:v>0.11949895397031722</c:v>
                </c:pt>
                <c:pt idx="49">
                  <c:v>0.12073731817462237</c:v>
                </c:pt>
                <c:pt idx="50">
                  <c:v>0.12196310917650467</c:v>
                </c:pt>
                <c:pt idx="51">
                  <c:v>0.12317670234261024</c:v>
                </c:pt>
                <c:pt idx="52">
                  <c:v>0.1243784547258889</c:v>
                </c:pt>
                <c:pt idx="53">
                  <c:v>0.12556870629261099</c:v>
                </c:pt>
                <c:pt idx="54">
                  <c:v>0.12674778104566567</c:v>
                </c:pt>
                <c:pt idx="55">
                  <c:v>0.12791598805466031</c:v>
                </c:pt>
                <c:pt idx="56">
                  <c:v>0.12907362240210041</c:v>
                </c:pt>
                <c:pt idx="57">
                  <c:v>0.13022096605385786</c:v>
                </c:pt>
                <c:pt idx="58">
                  <c:v>0.13135828866120325</c:v>
                </c:pt>
                <c:pt idx="59">
                  <c:v>0.13248584830086568</c:v>
                </c:pt>
                <c:pt idx="60">
                  <c:v>0.13360389215887389</c:v>
                </c:pt>
                <c:pt idx="61">
                  <c:v>0.13471265716331188</c:v>
                </c:pt>
                <c:pt idx="62">
                  <c:v>0.13581237057057799</c:v>
                </c:pt>
                <c:pt idx="63">
                  <c:v>0.13690325050925561</c:v>
                </c:pt>
                <c:pt idx="64">
                  <c:v>0.13798550648528271</c:v>
                </c:pt>
                <c:pt idx="65">
                  <c:v>0.1390593398517338</c:v>
                </c:pt>
                <c:pt idx="66">
                  <c:v>0.14012494424619765</c:v>
                </c:pt>
                <c:pt idx="67">
                  <c:v>0.14118250599844157</c:v>
                </c:pt>
                <c:pt idx="68">
                  <c:v>0.14223220451079283</c:v>
                </c:pt>
                <c:pt idx="69">
                  <c:v>0.14327421261343579</c:v>
                </c:pt>
                <c:pt idx="70">
                  <c:v>0.14430869689661813</c:v>
                </c:pt>
                <c:pt idx="71">
                  <c:v>0.14533581802157372</c:v>
                </c:pt>
                <c:pt idx="72">
                  <c:v>0.1463557310118056</c:v>
                </c:pt>
                <c:pt idx="73">
                  <c:v>0.14736858552622398</c:v>
                </c:pt>
                <c:pt idx="74">
                  <c:v>0.1483745261155027</c:v>
                </c:pt>
                <c:pt idx="75">
                  <c:v>0.14937369246289656</c:v>
                </c:pt>
                <c:pt idx="76">
                  <c:v>0.15036621961065591</c:v>
                </c:pt>
                <c:pt idx="77">
                  <c:v>0.15135223817307758</c:v>
                </c:pt>
                <c:pt idx="78">
                  <c:v>0.15233187453714345</c:v>
                </c:pt>
                <c:pt idx="79">
                  <c:v>0.15330525105161924</c:v>
                </c:pt>
                <c:pt idx="80">
                  <c:v>0.15427248620541514</c:v>
                </c:pt>
                <c:pt idx="81">
                  <c:v>0.15523369479594309</c:v>
                </c:pt>
                <c:pt idx="82">
                  <c:v>0.15618898808814916</c:v>
                </c:pt>
                <c:pt idx="83">
                  <c:v>0.15713847396484412</c:v>
                </c:pt>
                <c:pt idx="84">
                  <c:v>0.15808225706890702</c:v>
                </c:pt>
                <c:pt idx="85">
                  <c:v>0.1590204389378925</c:v>
                </c:pt>
                <c:pt idx="86">
                  <c:v>0.15995311813153254</c:v>
                </c:pt>
                <c:pt idx="87">
                  <c:v>0.16088039035258464</c:v>
                </c:pt>
                <c:pt idx="88">
                  <c:v>0.16180234856144707</c:v>
                </c:pt>
                <c:pt idx="89">
                  <c:v>0.16271908308492894</c:v>
                </c:pt>
                <c:pt idx="90">
                  <c:v>0.16363068171953574</c:v>
                </c:pt>
                <c:pt idx="91">
                  <c:v>0.16453722982960423</c:v>
                </c:pt>
                <c:pt idx="92">
                  <c:v>0.16543881044059763</c:v>
                </c:pt>
                <c:pt idx="93">
                  <c:v>0.16633550432784938</c:v>
                </c:pt>
                <c:pt idx="94">
                  <c:v>0.1672273901010238</c:v>
                </c:pt>
                <c:pt idx="95">
                  <c:v>0.16811454428454428</c:v>
                </c:pt>
                <c:pt idx="96">
                  <c:v>0.16899704139422084</c:v>
                </c:pt>
                <c:pt idx="97">
                  <c:v>0.16987495401029548</c:v>
                </c:pt>
                <c:pt idx="98">
                  <c:v>0.17074835284710654</c:v>
                </c:pt>
                <c:pt idx="99">
                  <c:v>0.17161730681956291</c:v>
                </c:pt>
                <c:pt idx="100">
                  <c:v>0.17248188310660337</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1.5160784313725491</c:v>
                </c:pt>
                <c:pt idx="82">
                  <c:v>1.5224497700314694</c:v>
                </c:pt>
                <c:pt idx="83">
                  <c:v>1.5288211086903898</c:v>
                </c:pt>
                <c:pt idx="84">
                  <c:v>1.5351924473493099</c:v>
                </c:pt>
                <c:pt idx="85">
                  <c:v>1.5415637860082305</c:v>
                </c:pt>
                <c:pt idx="86">
                  <c:v>1.5479351246671507</c:v>
                </c:pt>
                <c:pt idx="87">
                  <c:v>1.5543064633260713</c:v>
                </c:pt>
                <c:pt idx="88">
                  <c:v>1.5606778019849914</c:v>
                </c:pt>
                <c:pt idx="89">
                  <c:v>1.567049140643912</c:v>
                </c:pt>
                <c:pt idx="90">
                  <c:v>1.5734204793028321</c:v>
                </c:pt>
                <c:pt idx="91">
                  <c:v>1.5797918179617527</c:v>
                </c:pt>
                <c:pt idx="92">
                  <c:v>1.5861631566206729</c:v>
                </c:pt>
                <c:pt idx="93">
                  <c:v>1.5925344952795935</c:v>
                </c:pt>
                <c:pt idx="94">
                  <c:v>1.5989058339385136</c:v>
                </c:pt>
                <c:pt idx="95">
                  <c:v>1.605277172597434</c:v>
                </c:pt>
                <c:pt idx="96">
                  <c:v>1.6116485112563543</c:v>
                </c:pt>
                <c:pt idx="97">
                  <c:v>1.6180198499152747</c:v>
                </c:pt>
                <c:pt idx="98">
                  <c:v>1.6243911885741951</c:v>
                </c:pt>
                <c:pt idx="99">
                  <c:v>1.6307625272331154</c:v>
                </c:pt>
                <c:pt idx="100">
                  <c:v>1.6371338658920358</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Single'!$AK$5:$AK$105</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1.2145994176434551</c:v>
                </c:pt>
                <c:pt idx="16">
                  <c:v>1.2216373255037096</c:v>
                </c:pt>
                <c:pt idx="17">
                  <c:v>1.2284585259077996</c:v>
                </c:pt>
                <c:pt idx="18">
                  <c:v>1.2350818837415849</c:v>
                </c:pt>
                <c:pt idx="19">
                  <c:v>1.2415236759968251</c:v>
                </c:pt>
                <c:pt idx="20">
                  <c:v>1.2477980630887715</c:v>
                </c:pt>
                <c:pt idx="21">
                  <c:v>1.2539174552370791</c:v>
                </c:pt>
                <c:pt idx="22">
                  <c:v>1.2598928011269288</c:v>
                </c:pt>
                <c:pt idx="23">
                  <c:v>1.2657338180983533</c:v>
                </c:pt>
                <c:pt idx="24">
                  <c:v>1.2714491777196166</c:v>
                </c:pt>
                <c:pt idx="25">
                  <c:v>1.2770466568796373</c:v>
                </c:pt>
                <c:pt idx="26">
                  <c:v>1.282533261920983</c:v>
                </c:pt>
                <c:pt idx="27">
                  <c:v>1.2879153314695799</c:v>
                </c:pt>
                <c:pt idx="28">
                  <c:v>1.2931986222661447</c:v>
                </c:pt>
                <c:pt idx="29">
                  <c:v>1.2983883813124981</c:v>
                </c:pt>
                <c:pt idx="30">
                  <c:v>1.3034894069087422</c:v>
                </c:pt>
                <c:pt idx="31">
                  <c:v>1.308506100603128</c:v>
                </c:pt>
                <c:pt idx="32">
                  <c:v>1.3134425116554465</c:v>
                </c:pt>
                <c:pt idx="33">
                  <c:v>1.3183023752918004</c:v>
                </c:pt>
                <c:pt idx="34">
                  <c:v>1.3230891457785752</c:v>
                </c:pt>
                <c:pt idx="35">
                  <c:v>1.3278060251481916</c:v>
                </c:pt>
                <c:pt idx="36">
                  <c:v>1.3324559882555644</c:v>
                </c:pt>
                <c:pt idx="37">
                  <c:v>1.3370418047223689</c:v>
                </c:pt>
                <c:pt idx="38">
                  <c:v>1.3415660582289153</c:v>
                </c:pt>
                <c:pt idx="39">
                  <c:v>1.3460311635352604</c:v>
                </c:pt>
                <c:pt idx="40">
                  <c:v>1.3504393815499243</c:v>
                </c:pt>
                <c:pt idx="41">
                  <c:v>1.3547928327131493</c:v>
                </c:pt>
                <c:pt idx="42">
                  <c:v>1.3590935089195404</c:v>
                </c:pt>
                <c:pt idx="43">
                  <c:v>1.3633432841703221</c:v>
                </c:pt>
                <c:pt idx="44">
                  <c:v>1.3675439241168363</c:v>
                </c:pt>
                <c:pt idx="45">
                  <c:v>1.371697094633157</c:v>
                </c:pt>
                <c:pt idx="46">
                  <c:v>1.3758043695358761</c:v>
                </c:pt>
                <c:pt idx="47">
                  <c:v>1.3798672375525229</c:v>
                </c:pt>
                <c:pt idx="48">
                  <c:v>1.3838871086261064</c:v>
                </c:pt>
                <c:pt idx="49">
                  <c:v>1.3878653196314921</c:v>
                </c:pt>
                <c:pt idx="50">
                  <c:v>1.3918031395693082</c:v>
                </c:pt>
                <c:pt idx="51">
                  <c:v>1.3957017742945994</c:v>
                </c:pt>
                <c:pt idx="52">
                  <c:v>1.3995623708301639</c:v>
                </c:pt>
                <c:pt idx="53">
                  <c:v>1.4033860213083107</c:v>
                </c:pt>
                <c:pt idx="54">
                  <c:v>1.4071737665794251</c:v>
                </c:pt>
                <c:pt idx="55">
                  <c:v>1.4109265995211353</c:v>
                </c:pt>
                <c:pt idx="56">
                  <c:v>1.4146454680778879</c:v>
                </c:pt>
                <c:pt idx="57">
                  <c:v>1.418331278057305</c:v>
                </c:pt>
                <c:pt idx="58">
                  <c:v>1.4219848957066894</c:v>
                </c:pt>
                <c:pt idx="59">
                  <c:v>1.4256071500904477</c:v>
                </c:pt>
                <c:pt idx="60">
                  <c:v>1.4291988352869101</c:v>
                </c:pt>
                <c:pt idx="61">
                  <c:v>1.4327607124210417</c:v>
                </c:pt>
                <c:pt idx="62">
                  <c:v>1.4362935115477824</c:v>
                </c:pt>
                <c:pt idx="63">
                  <c:v>1.439797933399217</c:v>
                </c:pt>
                <c:pt idx="64">
                  <c:v>1.4432746510074195</c:v>
                </c:pt>
                <c:pt idx="65">
                  <c:v>1.446724311213613</c:v>
                </c:pt>
                <c:pt idx="66">
                  <c:v>1.4501475360732348</c:v>
                </c:pt>
                <c:pt idx="67">
                  <c:v>1.4535449241655467</c:v>
                </c:pt>
                <c:pt idx="68">
                  <c:v>1.4569170518155992</c:v>
                </c:pt>
                <c:pt idx="69">
                  <c:v>1.4602644742356141</c:v>
                </c:pt>
                <c:pt idx="70">
                  <c:v>1.4635877265921884</c:v>
                </c:pt>
                <c:pt idx="71">
                  <c:v>1.4668873250051246</c:v>
                </c:pt>
                <c:pt idx="72">
                  <c:v>1.4701637674831698</c:v>
                </c:pt>
                <c:pt idx="73">
                  <c:v>1.4734175348014642</c:v>
                </c:pt>
                <c:pt idx="74">
                  <c:v>1.4766490913250783</c:v>
                </c:pt>
                <c:pt idx="75">
                  <c:v>1.4798588857826334</c:v>
                </c:pt>
                <c:pt idx="76">
                  <c:v>1.4830473519936505</c:v>
                </c:pt>
                <c:pt idx="77">
                  <c:v>1.4862149095529722</c:v>
                </c:pt>
                <c:pt idx="78">
                  <c:v>1.4893619644753078</c:v>
                </c:pt>
                <c:pt idx="79">
                  <c:v>1.4924889098027079</c:v>
                </c:pt>
                <c:pt idx="80">
                  <c:v>1.4955961261775428</c:v>
                </c:pt>
                <c:pt idx="81">
                  <c:v>1.4986839823833469</c:v>
                </c:pt>
                <c:pt idx="82">
                  <c:v>1.5017528358557046</c:v>
                </c:pt>
                <c:pt idx="83">
                  <c:v>1.5048030331651832</c:v>
                </c:pt>
                <c:pt idx="84">
                  <c:v>1.5078349104741582</c:v>
                </c:pt>
                <c:pt idx="85">
                  <c:v>1.5108487939692368</c:v>
                </c:pt>
                <c:pt idx="86">
                  <c:v>1.513845000270851</c:v>
                </c:pt>
                <c:pt idx="87">
                  <c:v>1.5168238368214824</c:v>
                </c:pt>
                <c:pt idx="88">
                  <c:v>1.5197856022538578</c:v>
                </c:pt>
                <c:pt idx="89">
                  <c:v>1.5227305867403715</c:v>
                </c:pt>
                <c:pt idx="90">
                  <c:v>1.5256590723248866</c:v>
                </c:pt>
                <c:pt idx="91">
                  <c:v>1.5285713332379913</c:v>
                </c:pt>
                <c:pt idx="92">
                  <c:v>1.5314676361967068</c:v>
                </c:pt>
                <c:pt idx="93">
                  <c:v>1.5343482406895734</c:v>
                </c:pt>
                <c:pt idx="94">
                  <c:v>1.53721339924798</c:v>
                </c:pt>
                <c:pt idx="95">
                  <c:v>1.5400633577045353</c:v>
                </c:pt>
                <c:pt idx="96">
                  <c:v>1.5428983554392335</c:v>
                </c:pt>
                <c:pt idx="97">
                  <c:v>1.5457186256141087</c:v>
                </c:pt>
                <c:pt idx="98">
                  <c:v>1.5485243953970316</c:v>
                </c:pt>
                <c:pt idx="99">
                  <c:v>1.5513158861752547</c:v>
                </c:pt>
                <c:pt idx="100">
                  <c:v>1.5540933137592743</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1.473093165092398</c:v>
                </c:pt>
                <c:pt idx="82">
                  <c:v>1.476004535125788</c:v>
                </c:pt>
                <c:pt idx="83">
                  <c:v>1.4788982063690488</c:v>
                </c:pt>
                <c:pt idx="84">
                  <c:v>1.4817744977338119</c:v>
                </c:pt>
                <c:pt idx="85">
                  <c:v>1.4846337186678629</c:v>
                </c:pt>
                <c:pt idx="86">
                  <c:v>1.4874761695437182</c:v>
                </c:pt>
                <c:pt idx="87">
                  <c:v>1.4903021420269245</c:v>
                </c:pt>
                <c:pt idx="88">
                  <c:v>1.4931119194253624</c:v>
                </c:pt>
                <c:pt idx="89">
                  <c:v>1.4959057770207358</c:v>
                </c:pt>
                <c:pt idx="90">
                  <c:v>1.4986839823833469</c:v>
                </c:pt>
                <c:pt idx="91">
                  <c:v>1.5014467956711748</c:v>
                </c:pt>
                <c:pt idx="92">
                  <c:v>1.5041944699142022</c:v>
                </c:pt>
                <c:pt idx="93">
                  <c:v>1.5069272512848744</c:v>
                </c:pt>
                <c:pt idx="94">
                  <c:v>1.5096453793555011</c:v>
                </c:pt>
                <c:pt idx="95">
                  <c:v>1.5123490873433729</c:v>
                </c:pt>
                <c:pt idx="96">
                  <c:v>1.5150386023442921</c:v>
                </c:pt>
                <c:pt idx="97">
                  <c:v>1.5177141455551861</c:v>
                </c:pt>
                <c:pt idx="98">
                  <c:v>1.5203759324864199</c:v>
                </c:pt>
                <c:pt idx="99">
                  <c:v>1.5230241731643823</c:v>
                </c:pt>
                <c:pt idx="100">
                  <c:v>1.5256590723248866</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0.77411764705882358</c:v>
                </c:pt>
                <c:pt idx="55">
                  <c:v>0.78845315904139446</c:v>
                </c:pt>
                <c:pt idx="56">
                  <c:v>0.80278867102396523</c:v>
                </c:pt>
                <c:pt idx="57">
                  <c:v>0.81712418300653578</c:v>
                </c:pt>
                <c:pt idx="58">
                  <c:v>0.83145969498910666</c:v>
                </c:pt>
                <c:pt idx="59">
                  <c:v>0.84579520697167743</c:v>
                </c:pt>
                <c:pt idx="60">
                  <c:v>0.86013071895424831</c:v>
                </c:pt>
                <c:pt idx="61">
                  <c:v>0.87446623093681908</c:v>
                </c:pt>
                <c:pt idx="62">
                  <c:v>0.88880174291938985</c:v>
                </c:pt>
                <c:pt idx="63">
                  <c:v>0.90313725490196073</c:v>
                </c:pt>
                <c:pt idx="64">
                  <c:v>0.9174727668845315</c:v>
                </c:pt>
                <c:pt idx="65">
                  <c:v>0.93180827886710238</c:v>
                </c:pt>
                <c:pt idx="66">
                  <c:v>0.94614379084967315</c:v>
                </c:pt>
                <c:pt idx="67">
                  <c:v>0.96047930283224403</c:v>
                </c:pt>
                <c:pt idx="68">
                  <c:v>0.9748148148148148</c:v>
                </c:pt>
                <c:pt idx="69">
                  <c:v>0.98915032679738535</c:v>
                </c:pt>
                <c:pt idx="70">
                  <c:v>1.0034858387799561</c:v>
                </c:pt>
                <c:pt idx="71">
                  <c:v>1.0178213507625269</c:v>
                </c:pt>
                <c:pt idx="72">
                  <c:v>1.0321568627450979</c:v>
                </c:pt>
                <c:pt idx="73">
                  <c:v>1.0464923747276687</c:v>
                </c:pt>
                <c:pt idx="74">
                  <c:v>1.0608278867102394</c:v>
                </c:pt>
                <c:pt idx="75">
                  <c:v>1.0751633986928106</c:v>
                </c:pt>
                <c:pt idx="76">
                  <c:v>1.0894989106753814</c:v>
                </c:pt>
                <c:pt idx="77">
                  <c:v>1.1038344226579522</c:v>
                </c:pt>
                <c:pt idx="78">
                  <c:v>1.1181699346405229</c:v>
                </c:pt>
                <c:pt idx="79">
                  <c:v>1.1325054466230937</c:v>
                </c:pt>
                <c:pt idx="80">
                  <c:v>1.1468409586056647</c:v>
                </c:pt>
                <c:pt idx="81">
                  <c:v>1.1611764705882355</c:v>
                </c:pt>
                <c:pt idx="82">
                  <c:v>1.175511982570806</c:v>
                </c:pt>
                <c:pt idx="83">
                  <c:v>1.1898474945533768</c:v>
                </c:pt>
                <c:pt idx="84">
                  <c:v>1.2041830065359476</c:v>
                </c:pt>
                <c:pt idx="85">
                  <c:v>1.2185185185185183</c:v>
                </c:pt>
                <c:pt idx="86">
                  <c:v>1.2328540305010893</c:v>
                </c:pt>
                <c:pt idx="87">
                  <c:v>1.2471895424836601</c:v>
                </c:pt>
                <c:pt idx="88">
                  <c:v>1.2615250544662309</c:v>
                </c:pt>
                <c:pt idx="89">
                  <c:v>1.2758605664488016</c:v>
                </c:pt>
                <c:pt idx="90">
                  <c:v>1.2901960784313726</c:v>
                </c:pt>
                <c:pt idx="91">
                  <c:v>1.3045315904139434</c:v>
                </c:pt>
                <c:pt idx="92">
                  <c:v>1.3188671023965142</c:v>
                </c:pt>
                <c:pt idx="93">
                  <c:v>1.3332026143790849</c:v>
                </c:pt>
                <c:pt idx="94">
                  <c:v>1.3475381263616557</c:v>
                </c:pt>
                <c:pt idx="95">
                  <c:v>1.3618736383442267</c:v>
                </c:pt>
                <c:pt idx="96">
                  <c:v>1.3762091503267975</c:v>
                </c:pt>
                <c:pt idx="97">
                  <c:v>1.3905446623093682</c:v>
                </c:pt>
                <c:pt idx="98">
                  <c:v>1.404880174291939</c:v>
                </c:pt>
                <c:pt idx="99">
                  <c:v>1.41921568627451</c:v>
                </c:pt>
                <c:pt idx="100">
                  <c:v>1.4335511982570808</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32"/>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8"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2" val="0"/>
</file>

<file path=xl/ctrlProps/ctrlProp8.xml><?xml version="1.0" encoding="utf-8"?>
<formControlPr xmlns="http://schemas.microsoft.com/office/spreadsheetml/2009/9/main" objectType="Drop" dropLines="5" dropStyle="combo" dx="22" fmlaLink="'Variable Mgmt'!$Q$15" fmlaRange="'Variable Mgmt'!$P$10:$P$14" noThreeD="1" sel="1"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146050</xdr:colOff>
          <xdr:row>0</xdr:row>
          <xdr:rowOff>381000</xdr:rowOff>
        </xdr:from>
        <xdr:to>
          <xdr:col>24</xdr:col>
          <xdr:colOff>527050</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52"/>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53"/>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12V...48V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28</xdr:row>
          <xdr:rowOff>0</xdr:rowOff>
        </xdr:from>
        <xdr:to>
          <xdr:col>5</xdr:col>
          <xdr:colOff>279400</xdr:colOff>
          <xdr:row>29</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34</xdr:row>
          <xdr:rowOff>0</xdr:rowOff>
        </xdr:from>
        <xdr:to>
          <xdr:col>5</xdr:col>
          <xdr:colOff>260350</xdr:colOff>
          <xdr:row>34</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69850</xdr:colOff>
          <xdr:row>12</xdr:row>
          <xdr:rowOff>12700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12700</xdr:rowOff>
        </xdr:from>
        <xdr:to>
          <xdr:col>5</xdr:col>
          <xdr:colOff>266700</xdr:colOff>
          <xdr:row>32</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92.4%</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54"/>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xdr:row>
          <xdr:rowOff>12700</xdr:rowOff>
        </xdr:from>
        <xdr:to>
          <xdr:col>5</xdr:col>
          <xdr:colOff>400050</xdr:colOff>
          <xdr:row>4</xdr:row>
          <xdr:rowOff>241300</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24.96V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9508"/>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90531"/>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12700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12700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76"/>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12V...48V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-16V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393700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topLeftCell="A38" zoomScale="115" zoomScaleNormal="115" zoomScaleSheetLayoutView="70" workbookViewId="0">
      <selection activeCell="E57" sqref="E57"/>
    </sheetView>
  </sheetViews>
  <sheetFormatPr defaultColWidth="9.1796875" defaultRowHeight="13" x14ac:dyDescent="0.3"/>
  <cols>
    <col min="1" max="1" width="8.26953125" style="108" customWidth="1"/>
    <col min="2" max="2" width="8.26953125" style="47" customWidth="1"/>
    <col min="3" max="3" width="13.54296875" style="47" customWidth="1"/>
    <col min="4" max="4" width="9.81640625" style="47" customWidth="1"/>
    <col min="5" max="5" width="9.1796875" style="47" customWidth="1"/>
    <col min="6" max="6" width="8.7265625" style="47" customWidth="1"/>
    <col min="7" max="7" width="2.7265625" style="47" customWidth="1"/>
    <col min="8" max="9" width="8.26953125" style="47" customWidth="1"/>
    <col min="10" max="10" width="13.7265625" style="47" customWidth="1"/>
    <col min="11" max="11" width="10" style="47" customWidth="1"/>
    <col min="12" max="12" width="9.453125" style="47" customWidth="1"/>
    <col min="13" max="13" width="8.7265625" style="47" customWidth="1"/>
    <col min="14" max="15" width="9.1796875" style="47"/>
    <col min="16" max="18" width="10.1796875" style="47" customWidth="1"/>
    <col min="19" max="19" width="10" style="47" bestFit="1" customWidth="1"/>
    <col min="20" max="25" width="9.1796875" style="47"/>
    <col min="26" max="26" width="29" style="47" customWidth="1"/>
    <col min="27" max="27" width="3.1796875" style="47" customWidth="1"/>
    <col min="28" max="16384" width="9.1796875" style="47"/>
  </cols>
  <sheetData>
    <row r="1" spans="1:27" ht="47.25" customHeight="1" x14ac:dyDescent="0.3">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5" customHeight="1" x14ac:dyDescent="0.6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6" customHeight="1" x14ac:dyDescent="0.6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5" customHeight="1" thickBot="1" x14ac:dyDescent="0.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3">
      <c r="A6" s="142"/>
      <c r="B6" s="143"/>
      <c r="C6" s="144"/>
      <c r="D6" s="145" t="s">
        <v>370</v>
      </c>
      <c r="E6" s="146">
        <v>12</v>
      </c>
      <c r="F6" s="431" t="s">
        <v>0</v>
      </c>
      <c r="G6" s="91"/>
      <c r="H6" s="462"/>
      <c r="I6" s="514"/>
      <c r="J6" s="210"/>
      <c r="K6" s="515" t="s">
        <v>675</v>
      </c>
      <c r="L6" s="746">
        <f>Lmin</f>
        <v>29.376000000000001</v>
      </c>
      <c r="M6" s="640" t="s">
        <v>96</v>
      </c>
      <c r="N6" s="50"/>
      <c r="O6" s="50"/>
      <c r="P6" s="50"/>
      <c r="Q6" s="50"/>
      <c r="R6" s="83"/>
      <c r="S6" s="83"/>
      <c r="T6" s="76"/>
      <c r="U6" s="76"/>
      <c r="V6" s="76"/>
      <c r="W6" s="76"/>
      <c r="X6" s="76"/>
      <c r="Y6" s="76"/>
      <c r="Z6" s="511"/>
      <c r="AA6" s="506"/>
    </row>
    <row r="7" spans="1:27" ht="14.25" customHeight="1" x14ac:dyDescent="0.4">
      <c r="A7" s="136"/>
      <c r="B7" s="135"/>
      <c r="C7" s="137"/>
      <c r="D7" s="147" t="s">
        <v>371</v>
      </c>
      <c r="E7" s="148">
        <v>32</v>
      </c>
      <c r="F7" s="432" t="s">
        <v>0</v>
      </c>
      <c r="G7" s="91"/>
      <c r="H7" s="89"/>
      <c r="I7" s="90"/>
      <c r="J7" s="88"/>
      <c r="K7" s="101" t="s">
        <v>368</v>
      </c>
      <c r="L7" s="148">
        <v>30</v>
      </c>
      <c r="M7" s="432" t="s">
        <v>96</v>
      </c>
      <c r="N7" s="50"/>
      <c r="O7" s="50"/>
      <c r="P7" s="50"/>
      <c r="Q7" s="50"/>
      <c r="R7" s="83"/>
      <c r="S7" s="83"/>
      <c r="T7" s="76"/>
      <c r="U7" s="76"/>
      <c r="V7" s="76"/>
      <c r="W7" s="76"/>
      <c r="X7" s="76"/>
      <c r="Y7" s="76"/>
      <c r="Z7" s="511"/>
      <c r="AA7" s="506"/>
    </row>
    <row r="8" spans="1:27" ht="15.75" customHeight="1" x14ac:dyDescent="0.3">
      <c r="A8" s="136"/>
      <c r="B8" s="135"/>
      <c r="C8" s="137"/>
      <c r="D8" s="147" t="s">
        <v>372</v>
      </c>
      <c r="E8" s="148">
        <v>48</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3">
      <c r="A9" s="136"/>
      <c r="B9" s="135"/>
      <c r="C9" s="137"/>
      <c r="D9" s="147" t="s">
        <v>369</v>
      </c>
      <c r="E9" s="592"/>
      <c r="F9" s="149"/>
      <c r="G9" s="91"/>
      <c r="H9" s="89"/>
      <c r="I9" s="90"/>
      <c r="J9" s="88"/>
      <c r="K9" s="101" t="str">
        <f>CHOOSE(MODE, "Secondary Winding DCR", "Secondary Winding #1 DCR")</f>
        <v>Secondary Winding #1 DCR</v>
      </c>
      <c r="L9" s="148">
        <v>30</v>
      </c>
      <c r="M9" s="432" t="s">
        <v>20</v>
      </c>
      <c r="N9" s="50"/>
      <c r="O9" s="50"/>
      <c r="P9" s="50"/>
      <c r="Q9" s="50"/>
      <c r="R9" s="83"/>
      <c r="S9" s="83"/>
      <c r="T9" s="76"/>
      <c r="U9" s="76"/>
      <c r="V9" s="76"/>
      <c r="W9" s="76"/>
      <c r="X9" s="76"/>
      <c r="Y9" s="76"/>
      <c r="Z9" s="511"/>
      <c r="AA9" s="506"/>
    </row>
    <row r="10" spans="1:27" ht="15.75" customHeight="1" x14ac:dyDescent="0.3">
      <c r="A10" s="136"/>
      <c r="B10" s="135"/>
      <c r="C10" s="137"/>
      <c r="D10" s="147" t="str">
        <f>CHOOSE(MODE, "Output Voltage, VOUT ", "Output Voltage, VOUT1")</f>
        <v>Output Voltage, VOUT1</v>
      </c>
      <c r="E10" s="148">
        <v>16</v>
      </c>
      <c r="F10" s="432" t="s">
        <v>0</v>
      </c>
      <c r="G10" s="91"/>
      <c r="H10" s="89"/>
      <c r="I10" s="90"/>
      <c r="J10" s="88"/>
      <c r="K10" s="101" t="str">
        <f>CHOOSE(MODE, "", "Secondary Winding #2 DCR")</f>
        <v>Secondary Winding #2 DCR</v>
      </c>
      <c r="L10" s="148">
        <v>50</v>
      </c>
      <c r="M10" s="432" t="str">
        <f>CHOOSE(MODE, "", "mΩ")</f>
        <v>mΩ</v>
      </c>
      <c r="N10" s="50"/>
      <c r="O10" s="50"/>
      <c r="P10" s="50"/>
      <c r="Q10" s="50"/>
      <c r="R10" s="83"/>
      <c r="S10" s="83"/>
      <c r="T10" s="76"/>
      <c r="U10" s="76"/>
      <c r="V10" s="76"/>
      <c r="W10" s="76"/>
      <c r="X10" s="76"/>
      <c r="Y10" s="76"/>
      <c r="Z10" s="511"/>
      <c r="AA10" s="506"/>
    </row>
    <row r="11" spans="1:27" ht="15.75" customHeight="1" thickBot="1" x14ac:dyDescent="0.35">
      <c r="A11" s="139"/>
      <c r="B11" s="156"/>
      <c r="C11" s="512"/>
      <c r="D11" s="518" t="str">
        <f>CHOOSE(MODE, "Rated Output Current, IOUT ", "Rated Output Current, IOUT1")</f>
        <v>Rated Output Current, IOUT1</v>
      </c>
      <c r="E11" s="519">
        <v>0.2</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3">
      <c r="A12" s="76"/>
      <c r="B12" s="76"/>
      <c r="C12" s="76"/>
      <c r="D12" s="147" t="str">
        <f>CHOOSE(MODE, "", "Output Voltage, VOUT2")</f>
        <v>Output Voltage, VOUT2</v>
      </c>
      <c r="E12" s="148">
        <v>-16</v>
      </c>
      <c r="F12" s="432" t="str">
        <f>CHOOSE(MODE, "", "V", "V")</f>
        <v>V</v>
      </c>
      <c r="G12" s="91"/>
      <c r="H12" s="89"/>
      <c r="I12" s="90"/>
      <c r="J12" s="88"/>
      <c r="K12" s="87" t="str">
        <f>IF(MODE=1, "Transformer Turns Ratio, Pri : Sec", "Turns Ratio, PRI : SEC1")</f>
        <v>Turns Ratio, PRI : SEC1</v>
      </c>
      <c r="L12" s="440"/>
      <c r="M12" s="461"/>
      <c r="N12" s="50"/>
      <c r="O12" s="50"/>
      <c r="P12" s="50"/>
      <c r="Q12" s="50"/>
      <c r="R12" s="83"/>
      <c r="S12" s="83"/>
      <c r="T12" s="76"/>
      <c r="U12" s="76"/>
      <c r="V12" s="76"/>
      <c r="W12" s="76"/>
      <c r="X12" s="76"/>
      <c r="Y12" s="76"/>
      <c r="Z12" s="511"/>
      <c r="AA12" s="506"/>
    </row>
    <row r="13" spans="1:27" ht="15.75" customHeight="1" thickBot="1" x14ac:dyDescent="0.35">
      <c r="A13" s="139"/>
      <c r="B13" s="156"/>
      <c r="C13" s="512"/>
      <c r="D13" s="518" t="str">
        <f>CHOOSE(MODE, "", "Rated Output Current, IOUT2")</f>
        <v>Rated Output Current, IOUT2</v>
      </c>
      <c r="E13" s="519">
        <v>-0.1</v>
      </c>
      <c r="F13" s="432" t="str">
        <f>CHOOSE(MODE, "", "A", "A")</f>
        <v>A</v>
      </c>
      <c r="G13" s="91"/>
      <c r="H13" s="136"/>
      <c r="I13" s="135"/>
      <c r="J13" s="137"/>
      <c r="K13" s="88" t="str">
        <f>CHOOSE(MODE, "SW Voltage at VIN(max) - Spike Not Included", "Turns Ratio, SEC2 : SEC1")</f>
        <v>Turns Ratio, SEC2 : SEC1</v>
      </c>
      <c r="L13" s="639">
        <f>CHOOSE(MODE, ROUND('Variable Mgmt'!B50,0), ROUND(Nsec1sec2,2))</f>
        <v>1</v>
      </c>
      <c r="M13" s="461" t="str">
        <f>CHOOSE(MODE, "V", "")</f>
        <v/>
      </c>
      <c r="N13" s="50"/>
      <c r="O13" s="50"/>
      <c r="P13" s="50"/>
      <c r="Q13" s="50"/>
      <c r="R13" s="83"/>
      <c r="S13" s="83"/>
      <c r="T13" s="76"/>
      <c r="U13" s="76"/>
      <c r="V13" s="76"/>
      <c r="W13" s="76"/>
      <c r="X13" s="76"/>
      <c r="Y13" s="76"/>
      <c r="Z13" s="511"/>
      <c r="AA13" s="506"/>
    </row>
    <row r="14" spans="1:27" ht="15.75" customHeight="1" x14ac:dyDescent="0.3">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3">
      <c r="A15" s="429"/>
      <c r="B15" s="76"/>
      <c r="C15" s="76"/>
      <c r="D15" s="76"/>
      <c r="E15" s="76"/>
      <c r="F15" s="788"/>
      <c r="G15" s="92"/>
      <c r="H15" s="136"/>
      <c r="I15" s="135"/>
      <c r="J15" s="611"/>
      <c r="K15" s="88" t="str">
        <f>CHOOSE(MODE, "Max Output Current at VIN(min)", "Max Output Power at VIN(min)")</f>
        <v>Max Output Power at VIN(min)</v>
      </c>
      <c r="L15" s="754">
        <f>CHOOSE(MODE, 'Variable Mgmt'!B46, 'Variable Mgmt'!B45)</f>
        <v>5.0224924012158052</v>
      </c>
      <c r="M15" s="642" t="str">
        <f>CHOOSE(MODE, "A", "W")</f>
        <v>W</v>
      </c>
      <c r="N15" s="50"/>
      <c r="O15" s="50"/>
      <c r="P15" s="50"/>
      <c r="Q15" s="50"/>
      <c r="R15" s="83"/>
      <c r="S15" s="83"/>
      <c r="T15" s="76"/>
      <c r="U15" s="76"/>
      <c r="V15" s="76"/>
      <c r="W15" s="76"/>
      <c r="X15" s="76"/>
      <c r="Y15" s="76"/>
      <c r="Z15" s="511"/>
      <c r="AA15" s="506"/>
    </row>
    <row r="16" spans="1:27" ht="16.5" customHeight="1" thickBot="1" x14ac:dyDescent="0.45">
      <c r="A16" s="107" t="s">
        <v>297</v>
      </c>
      <c r="B16" s="93"/>
      <c r="C16" s="94"/>
      <c r="D16" s="94"/>
      <c r="E16" s="95"/>
      <c r="F16" s="94"/>
      <c r="G16" s="91"/>
      <c r="H16" s="742"/>
      <c r="I16" s="50"/>
      <c r="J16" s="50"/>
      <c r="K16" s="212" t="s">
        <v>673</v>
      </c>
      <c r="L16" s="755">
        <f>Don_Vinmin*100</f>
        <v>62.121212121212125</v>
      </c>
      <c r="M16" s="642" t="s">
        <v>674</v>
      </c>
      <c r="N16" s="50"/>
      <c r="O16" s="50"/>
      <c r="P16" s="50"/>
      <c r="Q16" s="50"/>
      <c r="R16" s="83"/>
      <c r="S16" s="83"/>
      <c r="T16" s="76"/>
      <c r="U16" s="76"/>
      <c r="V16" s="76"/>
      <c r="W16" s="76"/>
      <c r="X16" s="76"/>
      <c r="Y16" s="76"/>
      <c r="Z16" s="511"/>
      <c r="AA16" s="506"/>
    </row>
    <row r="17" spans="1:27" ht="15.75" customHeight="1" x14ac:dyDescent="0.3">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4">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3">
      <c r="A19" s="98"/>
      <c r="B19" s="90"/>
      <c r="C19" s="153"/>
      <c r="D19" s="147" t="s">
        <v>104</v>
      </c>
      <c r="E19" s="152">
        <v>3</v>
      </c>
      <c r="F19" s="435" t="s">
        <v>20</v>
      </c>
      <c r="G19" s="91"/>
      <c r="H19" s="90"/>
      <c r="I19" s="50"/>
      <c r="J19" s="50"/>
      <c r="K19" s="749" t="s">
        <v>809</v>
      </c>
      <c r="L19" s="751">
        <f>'Calculations - Single'!U105</f>
        <v>0.58533042846768346</v>
      </c>
      <c r="M19" s="90" t="s">
        <v>1</v>
      </c>
      <c r="N19" s="50"/>
      <c r="O19" s="50"/>
      <c r="P19" s="50"/>
      <c r="Q19" s="50"/>
      <c r="R19" s="83"/>
      <c r="S19" s="83"/>
      <c r="T19" s="76"/>
      <c r="U19" s="76"/>
      <c r="V19" s="76"/>
      <c r="W19" s="76"/>
      <c r="X19" s="76"/>
      <c r="Y19" s="76"/>
      <c r="Z19" s="511"/>
      <c r="AA19" s="506"/>
    </row>
    <row r="20" spans="1:27" ht="15.75" customHeight="1" thickBot="1" x14ac:dyDescent="0.45">
      <c r="A20" s="102"/>
      <c r="B20" s="103"/>
      <c r="C20" s="109"/>
      <c r="D20" s="212" t="s">
        <v>506</v>
      </c>
      <c r="E20" s="213">
        <f>Vinripple2</f>
        <v>33.178690002367702</v>
      </c>
      <c r="F20" s="106" t="s">
        <v>103</v>
      </c>
      <c r="G20" s="91"/>
      <c r="H20" s="90"/>
      <c r="I20" s="50"/>
      <c r="J20" s="50"/>
      <c r="K20" s="752" t="s">
        <v>810</v>
      </c>
      <c r="L20" s="753">
        <f>Nps*L19</f>
        <v>0.70239651416122018</v>
      </c>
      <c r="M20" s="105" t="s">
        <v>1</v>
      </c>
      <c r="N20" s="50"/>
      <c r="O20" s="50"/>
      <c r="P20" s="50"/>
      <c r="Q20" s="50"/>
      <c r="R20" s="83"/>
      <c r="S20" s="83"/>
      <c r="T20" s="76"/>
      <c r="U20" s="76"/>
      <c r="V20" s="76"/>
      <c r="W20" s="76"/>
      <c r="X20" s="76"/>
      <c r="Y20" s="76"/>
      <c r="Z20" s="511"/>
      <c r="AA20" s="506"/>
    </row>
    <row r="21" spans="1:27" ht="15.75" customHeight="1" thickBot="1" x14ac:dyDescent="0.35">
      <c r="A21" s="426"/>
      <c r="B21" s="427"/>
      <c r="C21" s="428"/>
      <c r="D21" s="428" t="str">
        <f>CHOOSE(MODE, "Minimum Output Capacitance", "Minimum Output Capacitance, Output #1")</f>
        <v>Minimum Output Capacitance, Output #1</v>
      </c>
      <c r="E21" s="748">
        <f>'Variable Mgmt'!B102</f>
        <v>4.7</v>
      </c>
      <c r="F21" s="433" t="s">
        <v>97</v>
      </c>
      <c r="G21" s="596"/>
      <c r="H21" s="586"/>
      <c r="I21" s="595"/>
      <c r="J21" s="507"/>
      <c r="K21" s="428" t="str">
        <f>CHOOSE(MODE, "", "Minimum Output Capacitance, Output #2")</f>
        <v>Minimum Output Capacitance, Output #2</v>
      </c>
      <c r="L21" s="638">
        <f>'Variable Mgmt'!B112</f>
        <v>4.7</v>
      </c>
      <c r="M21" s="433" t="s">
        <v>97</v>
      </c>
      <c r="N21" s="50"/>
      <c r="O21" s="50"/>
      <c r="P21" s="50"/>
      <c r="Q21" s="50"/>
      <c r="R21" s="83"/>
      <c r="S21" s="83"/>
      <c r="T21" s="76"/>
      <c r="U21" s="76"/>
      <c r="V21" s="76"/>
      <c r="W21" s="76"/>
      <c r="X21" s="76"/>
      <c r="Y21" s="76"/>
      <c r="Z21" s="511"/>
      <c r="AA21" s="506"/>
    </row>
    <row r="22" spans="1:27" ht="15.75" customHeight="1" x14ac:dyDescent="0.3">
      <c r="A22" s="89"/>
      <c r="B22" s="90"/>
      <c r="C22" s="137"/>
      <c r="D22" s="154" t="s">
        <v>140</v>
      </c>
      <c r="E22" s="148">
        <v>100</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3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45">
      <c r="A24" s="102"/>
      <c r="B24" s="105"/>
      <c r="C24" s="105"/>
      <c r="D24" s="212" t="str">
        <f>CHOOSE(MODE, "Resulting Output Voltage Ripple", "Resulting Output Voltage Ripple, Output #1")</f>
        <v>Resulting Output Voltage Ripple, Output #1</v>
      </c>
      <c r="E24" s="213">
        <f>Vripple1_actual</f>
        <v>1.8880666666666668</v>
      </c>
      <c r="F24" s="106" t="s">
        <v>103</v>
      </c>
      <c r="G24" s="596"/>
      <c r="H24" s="105"/>
      <c r="I24" s="509"/>
      <c r="J24" s="508"/>
      <c r="K24" s="212" t="str">
        <f>CHOOSE(MODE, "", "Resulting Output Voltage Ripple, Output #2")</f>
        <v>Resulting Output Voltage Ripple, Output #2</v>
      </c>
      <c r="L24" s="213">
        <f>Vripple2_actual</f>
        <v>1.6637121212121211</v>
      </c>
      <c r="M24" s="106" t="s">
        <v>103</v>
      </c>
      <c r="N24" s="50"/>
      <c r="O24" s="50"/>
      <c r="P24" s="50"/>
      <c r="Q24" s="50"/>
      <c r="R24" s="83"/>
      <c r="S24" s="83"/>
      <c r="T24" s="76"/>
      <c r="U24" s="76"/>
      <c r="V24" s="76"/>
      <c r="W24" s="76"/>
      <c r="X24" s="76"/>
      <c r="Y24" s="76"/>
      <c r="Z24" s="511"/>
      <c r="AA24" s="506"/>
    </row>
    <row r="25" spans="1:27" ht="13.5" customHeight="1" x14ac:dyDescent="0.3">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4">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3">
      <c r="A27" s="142"/>
      <c r="B27" s="143"/>
      <c r="C27" s="210"/>
      <c r="D27" s="210" t="s">
        <v>374</v>
      </c>
      <c r="E27" s="589">
        <f>Rfb_recommend</f>
        <v>195.84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35">
      <c r="A28" s="136"/>
      <c r="B28" s="135"/>
      <c r="C28" s="137"/>
      <c r="D28" s="154" t="s">
        <v>373</v>
      </c>
      <c r="E28" s="155">
        <v>196</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5" customHeight="1" x14ac:dyDescent="0.3">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3">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4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3">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3">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35">
      <c r="A34" s="139"/>
      <c r="B34" s="156"/>
      <c r="C34" s="156"/>
      <c r="D34" s="512" t="s">
        <v>388</v>
      </c>
      <c r="E34" s="532">
        <f>RTC</f>
        <v>324</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3">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3">
      <c r="A36" s="136"/>
      <c r="B36" s="135"/>
      <c r="C36" s="153"/>
      <c r="D36" s="154" t="str">
        <f>CHOOSE(MODE_UVLO, "Input UVLO Turn-On Threshold", "*Connect EN pin to VIN or Logic HIGH")</f>
        <v>Input UVLO Turn-On Threshold</v>
      </c>
      <c r="E36" s="155">
        <v>10</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35">
      <c r="A37" s="139"/>
      <c r="B37" s="156"/>
      <c r="C37" s="156"/>
      <c r="D37" s="437" t="str">
        <f>CHOOSE(MODE_UVLO, "Input UVLO Turn-Off Threshold", "")</f>
        <v>Input UVLO Turn-Off Threshold</v>
      </c>
      <c r="E37" s="438">
        <v>8</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3">
      <c r="A38" s="462"/>
      <c r="B38" s="135"/>
      <c r="C38" s="153"/>
      <c r="D38" s="137" t="s">
        <v>378</v>
      </c>
      <c r="E38" s="580">
        <f>'Variable Mgmt'!F157</f>
        <v>332</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35">
      <c r="A39" s="139"/>
      <c r="B39" s="156"/>
      <c r="C39" s="156"/>
      <c r="D39" s="512" t="s">
        <v>293</v>
      </c>
      <c r="E39" s="513">
        <f>'Variable Mgmt'!F158</f>
        <v>59</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3">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3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4">
      <c r="A42" s="576"/>
      <c r="B42" s="507"/>
      <c r="C42" s="507"/>
      <c r="D42" s="577" t="s">
        <v>655</v>
      </c>
      <c r="E42" s="581">
        <v>0.32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4">
      <c r="A43" s="429"/>
      <c r="B43" s="76"/>
      <c r="C43" s="76"/>
      <c r="D43" s="636" t="s">
        <v>656</v>
      </c>
      <c r="E43" s="99">
        <v>0.4</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3">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4">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4">
      <c r="A46" s="89"/>
      <c r="B46" s="90"/>
      <c r="C46" s="90"/>
      <c r="D46" s="88" t="s">
        <v>798</v>
      </c>
      <c r="E46" s="374">
        <f>CHOOSE(MODE, 'Calculations - Single'!BP105, 'Calculations - Dual'!BO105)</f>
        <v>185.69200505685447</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45">
      <c r="A47" s="102"/>
      <c r="B47" s="103"/>
      <c r="C47" s="103"/>
      <c r="D47" s="377" t="s">
        <v>799</v>
      </c>
      <c r="E47" s="521">
        <f>E45+E46/1000*ThetaJA</f>
        <v>62.613372207331032</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3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3">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3">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3">
      <c r="A51" s="776"/>
      <c r="B51" s="777"/>
      <c r="C51" s="777"/>
      <c r="D51" s="789" t="str">
        <f>CHOOSE(MODE, "Recommended Csnb", "Recommended Csnb1")</f>
        <v>Recommended Csnb1</v>
      </c>
      <c r="E51" s="790">
        <v>22</v>
      </c>
      <c r="F51" s="779" t="s">
        <v>15</v>
      </c>
      <c r="G51" s="90"/>
      <c r="H51" s="776"/>
      <c r="I51" s="783"/>
      <c r="J51" s="783"/>
      <c r="K51" s="789" t="str">
        <f>CHOOSE(MODE, "", "Recommended Csnb2")</f>
        <v>Recommended Csnb2</v>
      </c>
      <c r="L51" s="790">
        <f>CHOOSE(MODE, "", 22)</f>
        <v>22</v>
      </c>
      <c r="M51" s="779" t="str">
        <f>CHOOSE(MODE, "", "pF")</f>
        <v>pF</v>
      </c>
      <c r="N51" s="50"/>
      <c r="O51" s="50"/>
      <c r="P51" s="50"/>
      <c r="Q51" s="50"/>
      <c r="R51" s="83"/>
      <c r="S51" s="83"/>
      <c r="T51" s="76"/>
      <c r="U51" s="76"/>
      <c r="V51" s="76"/>
      <c r="W51" s="76"/>
      <c r="X51" s="76"/>
      <c r="Y51" s="76"/>
      <c r="Z51" s="511"/>
      <c r="AA51" s="506"/>
    </row>
    <row r="52" spans="1:35" ht="15.75" customHeight="1" x14ac:dyDescent="0.3">
      <c r="A52" s="780"/>
      <c r="B52" s="90"/>
      <c r="C52" s="90"/>
      <c r="D52" s="88" t="s">
        <v>853</v>
      </c>
      <c r="E52" s="374">
        <f>(VIN_max/Npri_sec1+E10)*1.5</f>
        <v>84</v>
      </c>
      <c r="F52" s="781" t="s">
        <v>0</v>
      </c>
      <c r="G52" s="90"/>
      <c r="H52" s="780"/>
      <c r="I52" s="50"/>
      <c r="J52" s="50"/>
      <c r="K52" s="88" t="str">
        <f>CHOOSE(MODE, "", "Snubber Capacitor Voltage Rating &gt;")</f>
        <v>Snubber Capacitor Voltage Rating &gt;</v>
      </c>
      <c r="L52" s="374">
        <f>CHOOSE(MODE, "", (VIN_max/Npri_sec2+ABS(E12))*1.5)</f>
        <v>84</v>
      </c>
      <c r="M52" s="781" t="str">
        <f>CHOOSE(MODE, "", "V")</f>
        <v>V</v>
      </c>
      <c r="N52" s="50"/>
      <c r="O52" s="50"/>
      <c r="P52" s="50"/>
      <c r="Q52" s="50"/>
      <c r="R52" s="83"/>
      <c r="S52" s="83"/>
      <c r="T52" s="76"/>
      <c r="U52" s="76"/>
      <c r="V52" s="76"/>
      <c r="W52" s="76"/>
      <c r="X52" s="76"/>
      <c r="Y52" s="76"/>
      <c r="Z52" s="511"/>
      <c r="AA52" s="506"/>
    </row>
    <row r="53" spans="1:35" ht="15.75" customHeight="1" x14ac:dyDescent="0.3">
      <c r="A53" s="780"/>
      <c r="B53" s="90"/>
      <c r="C53" s="90"/>
      <c r="D53" s="88" t="str">
        <f>CHOOSE(MODE, "Recommended Rsnb", "Recommended Rsnb1")</f>
        <v>Recommended Rsnb1</v>
      </c>
      <c r="E53" s="374">
        <v>100</v>
      </c>
      <c r="F53" s="782" t="s">
        <v>136</v>
      </c>
      <c r="G53" s="90"/>
      <c r="H53" s="780"/>
      <c r="I53" s="50"/>
      <c r="J53" s="50"/>
      <c r="K53" s="88" t="str">
        <f>CHOOSE(MODE, "", "Recommended Rsnb2")</f>
        <v>Recommended Rsnb2</v>
      </c>
      <c r="L53" s="374">
        <f>CHOOSE(MODE, "", 100)</f>
        <v>100</v>
      </c>
      <c r="M53" s="782" t="str">
        <f>CHOOSE(MODE, "", "Ω")</f>
        <v>Ω</v>
      </c>
      <c r="N53" s="50"/>
      <c r="O53" s="50"/>
      <c r="P53" s="50"/>
      <c r="Q53" s="50"/>
      <c r="R53" s="83"/>
      <c r="S53" s="83"/>
      <c r="T53" s="76"/>
      <c r="U53" s="76"/>
      <c r="V53" s="76"/>
      <c r="W53" s="76"/>
      <c r="X53" s="76"/>
      <c r="Y53" s="76"/>
      <c r="Z53" s="511"/>
      <c r="AA53" s="506"/>
    </row>
    <row r="54" spans="1:35" ht="15.75" customHeight="1" x14ac:dyDescent="0.3">
      <c r="A54" s="772"/>
      <c r="B54" s="773"/>
      <c r="C54" s="773"/>
      <c r="D54" s="791" t="s">
        <v>854</v>
      </c>
      <c r="E54" s="792">
        <f>E52*E52*E51*0.000000000001*350000*4</f>
        <v>0.21732479999999998</v>
      </c>
      <c r="F54" s="775" t="s">
        <v>45</v>
      </c>
      <c r="G54" s="90"/>
      <c r="H54" s="772"/>
      <c r="I54" s="786"/>
      <c r="J54" s="786"/>
      <c r="K54" s="791" t="str">
        <f>CHOOSE(MODE, "", "Snubber Resistor Power Dissipation Rating &gt;")</f>
        <v>Snubber Resistor Power Dissipation Rating &gt;</v>
      </c>
      <c r="L54" s="792">
        <f>CHOOSE(MODE, "", L52*L52*L51*0.000000000001*350000*4)</f>
        <v>0.21732479999999998</v>
      </c>
      <c r="M54" s="775" t="str">
        <f>CHOOSE(MODE, "", "W")</f>
        <v>W</v>
      </c>
      <c r="N54" s="50"/>
      <c r="O54" s="50"/>
      <c r="P54" s="50"/>
      <c r="Q54" s="50"/>
      <c r="R54" s="83"/>
      <c r="S54" s="83"/>
      <c r="T54" s="76"/>
      <c r="U54" s="76"/>
      <c r="V54" s="76"/>
      <c r="W54" s="76"/>
      <c r="X54" s="76"/>
      <c r="Y54" s="76"/>
      <c r="Z54" s="511"/>
      <c r="AA54" s="506"/>
    </row>
    <row r="55" spans="1:35" ht="15.75" customHeight="1" x14ac:dyDescent="0.3">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3">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3">
      <c r="A57" s="776"/>
      <c r="B57" s="777"/>
      <c r="C57" s="777"/>
      <c r="D57" s="778" t="str">
        <f>CHOOSE(MODE, "Min Load Current, IOUTmin ", "Min Load Current, IOUT1min")</f>
        <v>Min Load Current, IOUT1min</v>
      </c>
      <c r="E57" s="795">
        <v>5.0000000000000001E-3</v>
      </c>
      <c r="F57" s="779" t="s">
        <v>1</v>
      </c>
      <c r="G57" s="90"/>
      <c r="H57" s="776"/>
      <c r="I57" s="783"/>
      <c r="J57" s="783"/>
      <c r="K57" s="778" t="str">
        <f>CHOOSE(MODE, " ", "Min Load Current, IOUT2min")</f>
        <v>Min Load Current, IOUT2min</v>
      </c>
      <c r="L57" s="797">
        <v>-5.0000000000000001E-3</v>
      </c>
      <c r="M57" s="784" t="str">
        <f>CHOOSE(MODE, "", "A")</f>
        <v>A</v>
      </c>
      <c r="N57" s="50"/>
      <c r="O57" s="50"/>
      <c r="P57" s="50"/>
      <c r="Q57" s="50"/>
      <c r="R57" s="83"/>
      <c r="S57" s="83"/>
      <c r="T57" s="76"/>
      <c r="U57" s="76"/>
      <c r="V57" s="76"/>
      <c r="W57" s="76"/>
      <c r="X57" s="76"/>
      <c r="Y57" s="76"/>
      <c r="Z57" s="511"/>
      <c r="AA57" s="506"/>
    </row>
    <row r="58" spans="1:35" ht="15.75" customHeight="1" x14ac:dyDescent="0.3">
      <c r="A58" s="780"/>
      <c r="B58" s="90"/>
      <c r="C58" s="90"/>
      <c r="D58" s="87" t="str">
        <f>CHOOSE(MODE,"Max Output Voltage Limit, VOUTmax","Max Output Voltage Limit, VOUT1max")</f>
        <v>Max Output Voltage Limit, VOUT1max</v>
      </c>
      <c r="E58" s="796">
        <v>17</v>
      </c>
      <c r="F58" s="781" t="s">
        <v>0</v>
      </c>
      <c r="G58" s="90"/>
      <c r="H58" s="780"/>
      <c r="I58" s="50"/>
      <c r="J58" s="50"/>
      <c r="K58" s="87" t="str">
        <f>CHOOSE(MODE,"","Max Output Voltage Limit, VOUT2max")</f>
        <v>Max Output Voltage Limit, VOUT2max</v>
      </c>
      <c r="L58" s="798">
        <v>-17</v>
      </c>
      <c r="M58" s="785" t="str">
        <f>CHOOSE(MODE,"","V")</f>
        <v>V</v>
      </c>
      <c r="N58" s="50"/>
      <c r="O58" s="50"/>
      <c r="P58" s="50"/>
      <c r="Q58" s="50"/>
      <c r="R58" s="83"/>
      <c r="S58" s="83"/>
      <c r="T58" s="76"/>
      <c r="U58" s="76"/>
      <c r="V58" s="76"/>
      <c r="W58" s="76"/>
      <c r="X58" s="76"/>
      <c r="Y58" s="76"/>
      <c r="Z58" s="511"/>
      <c r="AA58" s="506"/>
    </row>
    <row r="59" spans="1:35" ht="15.75" customHeight="1" x14ac:dyDescent="0.3">
      <c r="A59" s="780"/>
      <c r="B59" s="90"/>
      <c r="C59" s="83"/>
      <c r="D59" s="88" t="str">
        <f>CHOOSE(MODE," Zener Clamp Dz or Dymmy Load Rdmy","Zener Clamp Dz1 or Dummy Load Rdmy1")</f>
        <v>Zener Clamp Dz1 or Dummy Load Rdmy1</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Zener Clamp Dz2 or Dummy Load Rdmy2</v>
      </c>
      <c r="L59" s="799" t="str">
        <f>CHOOSE(MODE, "", IF('Calculations - Dual'!N329="Yes",IF(ABS(L58)&gt;ROUND(Vout2*11.25,0)/10, "Dz2", "Rdmy2"), "None"))</f>
        <v>None</v>
      </c>
      <c r="M59" s="785"/>
      <c r="N59" s="50"/>
      <c r="O59" s="50"/>
      <c r="P59" s="50"/>
      <c r="Q59" s="50"/>
      <c r="R59" s="83"/>
      <c r="S59" s="83"/>
      <c r="T59" s="76"/>
      <c r="U59" s="76"/>
      <c r="V59" s="76"/>
      <c r="W59" s="76"/>
      <c r="X59" s="76"/>
      <c r="Y59" s="76"/>
      <c r="Z59" s="511"/>
      <c r="AA59" s="506"/>
    </row>
    <row r="60" spans="1:35" ht="15.75" customHeight="1" x14ac:dyDescent="0.3">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xml:space="preserve">Selection </v>
      </c>
      <c r="L60" s="800" t="str">
        <f>CHOOSE(MODE,"",IF(L59="Rdmy2",'Standard Value Calculator'!J25,IF(L59="None","None",ROUND(ABS(L58)/0.0105,0)/100)))</f>
        <v>None</v>
      </c>
      <c r="M60" s="782" t="str">
        <f>IF(L59="DZ2", "V", IF(L59="Rdmy2","Ohm", ""))</f>
        <v/>
      </c>
      <c r="N60" s="50"/>
      <c r="O60" s="50"/>
      <c r="P60" s="50"/>
      <c r="Q60" s="50"/>
      <c r="R60" s="83"/>
      <c r="S60" s="83"/>
      <c r="T60" s="76"/>
      <c r="U60" s="76"/>
      <c r="V60" s="76"/>
      <c r="W60" s="76"/>
      <c r="X60" s="76"/>
      <c r="Y60" s="76"/>
      <c r="Z60" s="511"/>
      <c r="AA60" s="506"/>
    </row>
    <row r="61" spans="1:35" ht="15.75" customHeight="1" x14ac:dyDescent="0.3">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Selected Device Min Power Rating&gt;</v>
      </c>
      <c r="L61" s="774" t="str">
        <f>CHOOSE(MODE, "", IF(L59="Rdmy2",(Vout2*1.08)^2/L60*4, IF(L59="Dz2", ABS(L60*1.065*L57*4*0+'Standard Value Calculator'!I29*5), "N/A")))</f>
        <v>N/A</v>
      </c>
      <c r="M61" s="775" t="str">
        <f>CHOOSE(MODE, "", "W")</f>
        <v>W</v>
      </c>
      <c r="N61" s="50"/>
      <c r="O61" s="50"/>
      <c r="P61" s="50"/>
      <c r="Q61" s="50"/>
      <c r="R61" s="83"/>
      <c r="S61" s="83"/>
      <c r="T61" s="76"/>
      <c r="U61" s="76"/>
      <c r="V61" s="76"/>
      <c r="W61" s="76"/>
      <c r="X61" s="76"/>
      <c r="Y61" s="76"/>
      <c r="Z61" s="511"/>
      <c r="AA61" s="506"/>
    </row>
    <row r="62" spans="1:35" ht="15.75" customHeight="1" thickBot="1" x14ac:dyDescent="0.3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3">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3">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3">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3">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3">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3">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80" priority="142" operator="notBetween">
      <formula>4.5</formula>
      <formula>VIN_MAX_RATING</formula>
    </cfRule>
    <cfRule type="cellIs" dxfId="79" priority="11" operator="lessThan">
      <formula>$E$7</formula>
    </cfRule>
  </conditionalFormatting>
  <conditionalFormatting sqref="E10">
    <cfRule type="cellIs" dxfId="78" priority="139" stopIfTrue="1" operator="notBetween">
      <formula>0</formula>
      <formula>200</formula>
    </cfRule>
  </conditionalFormatting>
  <conditionalFormatting sqref="E22">
    <cfRule type="cellIs" dxfId="77" priority="136" stopIfTrue="1" operator="lessThan">
      <formula>$E$21</formula>
    </cfRule>
  </conditionalFormatting>
  <conditionalFormatting sqref="E18">
    <cfRule type="cellIs" dxfId="76" priority="132" stopIfTrue="1" operator="lessThan">
      <formula>$E$17</formula>
    </cfRule>
  </conditionalFormatting>
  <conditionalFormatting sqref="E19">
    <cfRule type="cellIs" dxfId="75" priority="131" stopIfTrue="1" operator="equal">
      <formula>0</formula>
    </cfRule>
  </conditionalFormatting>
  <conditionalFormatting sqref="E36">
    <cfRule type="cellIs" dxfId="74" priority="128" operator="notBetween">
      <formula>65</formula>
      <formula>4.5</formula>
    </cfRule>
    <cfRule type="cellIs" dxfId="73" priority="7" operator="greaterThan">
      <formula>$E$6</formula>
    </cfRule>
  </conditionalFormatting>
  <conditionalFormatting sqref="E30">
    <cfRule type="cellIs" dxfId="72" priority="126" operator="lessThan">
      <formula>6</formula>
    </cfRule>
  </conditionalFormatting>
  <conditionalFormatting sqref="F15">
    <cfRule type="expression" dxfId="71" priority="115">
      <formula>(MODE=2)</formula>
    </cfRule>
  </conditionalFormatting>
  <conditionalFormatting sqref="E30:F30">
    <cfRule type="expression" dxfId="70" priority="110">
      <formula>OR(MODE_SS=2,MODE_SS=3)</formula>
    </cfRule>
  </conditionalFormatting>
  <conditionalFormatting sqref="D30">
    <cfRule type="expression" dxfId="69" priority="109">
      <formula>OR(MODE_SS=2,MODE_SS=3)</formula>
    </cfRule>
  </conditionalFormatting>
  <conditionalFormatting sqref="D31:F31">
    <cfRule type="expression" dxfId="68" priority="108">
      <formula>OR(MODE_SS=2,MODE_SS=3)</formula>
    </cfRule>
  </conditionalFormatting>
  <conditionalFormatting sqref="D36">
    <cfRule type="expression" dxfId="67" priority="106">
      <formula>MODE_UVLO=2</formula>
    </cfRule>
  </conditionalFormatting>
  <conditionalFormatting sqref="C38:F40 E36:F37">
    <cfRule type="expression" dxfId="66" priority="80">
      <formula>MODE_UVLO=2</formula>
    </cfRule>
  </conditionalFormatting>
  <conditionalFormatting sqref="D37">
    <cfRule type="expression" dxfId="65" priority="103">
      <formula>MODE_UVLO=2</formula>
    </cfRule>
  </conditionalFormatting>
  <conditionalFormatting sqref="E45">
    <cfRule type="cellIs" dxfId="64" priority="87" operator="notBetween">
      <formula>-40</formula>
      <formula>150</formula>
    </cfRule>
  </conditionalFormatting>
  <conditionalFormatting sqref="F21">
    <cfRule type="cellIs" dxfId="63" priority="86" stopIfTrue="1" operator="lessThanOrEqual">
      <formula>0</formula>
    </cfRule>
  </conditionalFormatting>
  <conditionalFormatting sqref="A37:F37">
    <cfRule type="expression" dxfId="62" priority="70">
      <formula>MODE_UVLO=1</formula>
    </cfRule>
  </conditionalFormatting>
  <conditionalFormatting sqref="A40:F40">
    <cfRule type="expression" dxfId="61" priority="79">
      <formula>MODE_UVLO=2</formula>
    </cfRule>
  </conditionalFormatting>
  <conditionalFormatting sqref="F38:F39">
    <cfRule type="expression" dxfId="60" priority="78">
      <formula>MODE_UVLO=2</formula>
    </cfRule>
  </conditionalFormatting>
  <conditionalFormatting sqref="E37">
    <cfRule type="cellIs" dxfId="59" priority="104" operator="notBetween">
      <formula>3.5</formula>
      <formula>$E$36</formula>
    </cfRule>
    <cfRule type="cellIs" dxfId="58" priority="6" operator="greaterThan">
      <formula>$E$36</formula>
    </cfRule>
  </conditionalFormatting>
  <conditionalFormatting sqref="F17">
    <cfRule type="cellIs" dxfId="57" priority="68" stopIfTrue="1" operator="lessThanOrEqual">
      <formula>0</formula>
    </cfRule>
  </conditionalFormatting>
  <conditionalFormatting sqref="E11">
    <cfRule type="cellIs" dxfId="56" priority="67" operator="between">
      <formula>-0.0099</formula>
      <formula>0.0099</formula>
    </cfRule>
    <cfRule type="cellIs" dxfId="55" priority="9" operator="lessThan">
      <formula>0</formula>
    </cfRule>
  </conditionalFormatting>
  <conditionalFormatting sqref="E11">
    <cfRule type="expression" dxfId="54" priority="94">
      <formula>"Iout&gt;2"</formula>
    </cfRule>
  </conditionalFormatting>
  <conditionalFormatting sqref="J38">
    <cfRule type="cellIs" dxfId="53" priority="150" stopIfTrue="1" operator="notBetween">
      <formula>600</formula>
      <formula>50</formula>
    </cfRule>
    <cfRule type="cellIs" dxfId="52" priority="151" stopIfTrue="1" operator="greaterThan">
      <formula>$E$9</formula>
    </cfRule>
  </conditionalFormatting>
  <conditionalFormatting sqref="E12">
    <cfRule type="cellIs" dxfId="51" priority="66" operator="notBetween">
      <formula>-200</formula>
      <formula>200</formula>
    </cfRule>
  </conditionalFormatting>
  <conditionalFormatting sqref="E13">
    <cfRule type="cellIs" dxfId="50" priority="64" operator="between">
      <formula>-0.0099</formula>
      <formula>0.0099</formula>
    </cfRule>
    <cfRule type="expression" dxfId="49" priority="8">
      <formula>$E$12*$E$13&lt;0</formula>
    </cfRule>
  </conditionalFormatting>
  <conditionalFormatting sqref="E13">
    <cfRule type="expression" dxfId="48" priority="65">
      <formula>Iout2 &gt; 2</formula>
    </cfRule>
  </conditionalFormatting>
  <conditionalFormatting sqref="E23">
    <cfRule type="cellIs" dxfId="47" priority="60" stopIfTrue="1" operator="equal">
      <formula>0</formula>
    </cfRule>
  </conditionalFormatting>
  <conditionalFormatting sqref="D33">
    <cfRule type="expression" dxfId="46" priority="55">
      <formula>OR(TC=2)</formula>
    </cfRule>
  </conditionalFormatting>
  <conditionalFormatting sqref="D34:F34 E33:F33">
    <cfRule type="expression" dxfId="45" priority="54">
      <formula>OR(TC=2)</formula>
    </cfRule>
  </conditionalFormatting>
  <conditionalFormatting sqref="L23">
    <cfRule type="cellIs" dxfId="44" priority="48" stopIfTrue="1" operator="equal">
      <formula>0</formula>
    </cfRule>
  </conditionalFormatting>
  <conditionalFormatting sqref="L22">
    <cfRule type="cellIs" dxfId="43" priority="50" stopIfTrue="1" operator="lessThan">
      <formula>$L$21</formula>
    </cfRule>
  </conditionalFormatting>
  <conditionalFormatting sqref="M21">
    <cfRule type="cellIs" dxfId="42" priority="49" stopIfTrue="1" operator="lessThanOrEqual">
      <formula>0</formula>
    </cfRule>
  </conditionalFormatting>
  <conditionalFormatting sqref="E7">
    <cfRule type="cellIs" dxfId="41" priority="39" stopIfTrue="1" operator="notBetween">
      <formula>4.5</formula>
      <formula>VIN_MAX_RATING</formula>
    </cfRule>
    <cfRule type="cellIs" dxfId="40" priority="10" stopIfTrue="1" operator="lessThan">
      <formula>$E$6</formula>
    </cfRule>
  </conditionalFormatting>
  <conditionalFormatting sqref="E6">
    <cfRule type="cellIs" dxfId="39" priority="38" operator="notBetween">
      <formula>4.5</formula>
      <formula>VIN_MAX_RATING</formula>
    </cfRule>
  </conditionalFormatting>
  <conditionalFormatting sqref="F14">
    <cfRule type="expression" dxfId="38" priority="30">
      <formula>(MODE=2)</formula>
    </cfRule>
  </conditionalFormatting>
  <conditionalFormatting sqref="E52">
    <cfRule type="cellIs" dxfId="37" priority="28" operator="notBetween">
      <formula>-40</formula>
      <formula>150</formula>
    </cfRule>
  </conditionalFormatting>
  <conditionalFormatting sqref="L51 L53:L54">
    <cfRule type="cellIs" dxfId="36" priority="27" operator="notBetween">
      <formula>-40</formula>
      <formula>150</formula>
    </cfRule>
  </conditionalFormatting>
  <conditionalFormatting sqref="L52">
    <cfRule type="cellIs" dxfId="35" priority="26" operator="notBetween">
      <formula>-40</formula>
      <formula>150</formula>
    </cfRule>
  </conditionalFormatting>
  <conditionalFormatting sqref="G51:M54">
    <cfRule type="expression" priority="25">
      <formula>"MODE=true"</formula>
    </cfRule>
  </conditionalFormatting>
  <conditionalFormatting sqref="E57">
    <cfRule type="cellIs" dxfId="34" priority="5" operator="lessThan">
      <formula>0</formula>
    </cfRule>
  </conditionalFormatting>
  <conditionalFormatting sqref="E58">
    <cfRule type="cellIs" dxfId="33" priority="4" operator="lessThan">
      <formula>$E$10*1.05</formula>
    </cfRule>
  </conditionalFormatting>
  <conditionalFormatting sqref="L57">
    <cfRule type="expression" dxfId="32" priority="3">
      <formula>$L$57*$E$12&lt;0</formula>
    </cfRule>
  </conditionalFormatting>
  <conditionalFormatting sqref="L58">
    <cfRule type="expression" dxfId="31" priority="2">
      <formula>$E$12*$L$58&lt;0</formula>
    </cfRule>
    <cfRule type="expression" dxfId="3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146050</xdr:colOff>
                    <xdr:row>0</xdr:row>
                    <xdr:rowOff>381000</xdr:rowOff>
                  </from>
                  <to>
                    <xdr:col>24</xdr:col>
                    <xdr:colOff>527050</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12700</xdr:colOff>
                    <xdr:row>28</xdr:row>
                    <xdr:rowOff>0</xdr:rowOff>
                  </from>
                  <to>
                    <xdr:col>5</xdr:col>
                    <xdr:colOff>279400</xdr:colOff>
                    <xdr:row>29</xdr:row>
                    <xdr:rowOff>31750</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12700</xdr:colOff>
                    <xdr:row>34</xdr:row>
                    <xdr:rowOff>0</xdr:rowOff>
                  </from>
                  <to>
                    <xdr:col>5</xdr:col>
                    <xdr:colOff>260350</xdr:colOff>
                    <xdr:row>34</xdr:row>
                    <xdr:rowOff>203200</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12700</xdr:colOff>
                    <xdr:row>11</xdr:row>
                    <xdr:rowOff>0</xdr:rowOff>
                  </from>
                  <to>
                    <xdr:col>12</xdr:col>
                    <xdr:colOff>69850</xdr:colOff>
                    <xdr:row>12</xdr:row>
                    <xdr:rowOff>12700</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12700</xdr:rowOff>
                  </from>
                  <to>
                    <xdr:col>5</xdr:col>
                    <xdr:colOff>266700</xdr:colOff>
                    <xdr:row>32</xdr:row>
                    <xdr:rowOff>12700</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31750</xdr:colOff>
                    <xdr:row>4</xdr:row>
                    <xdr:rowOff>12700</xdr:rowOff>
                  </from>
                  <to>
                    <xdr:col>5</xdr:col>
                    <xdr:colOff>400050</xdr:colOff>
                    <xdr:row>4</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5" x14ac:dyDescent="0.25"/>
  <cols>
    <col min="2" max="2" width="126.453125" customWidth="1"/>
  </cols>
  <sheetData>
    <row r="2" spans="1:2" ht="17.25" customHeight="1" x14ac:dyDescent="0.25">
      <c r="A2" s="77" t="str">
        <f>CHOOSE(MODE, "EFF_SINGLE", "EFF_DUAL")</f>
        <v>EFF_DUAL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5" x14ac:dyDescent="0.25"/>
  <cols>
    <col min="2" max="2" width="126.453125" customWidth="1"/>
  </cols>
  <sheetData>
    <row r="2" spans="1:2" ht="17.25" customHeight="1" x14ac:dyDescent="0.25">
      <c r="A2" s="77" t="str">
        <f>CHOOSE(MODE, "Fsw_SINGLE", "Fsw_DUAL")</f>
        <v>Fsw_DUAL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5" x14ac:dyDescent="0.25"/>
  <cols>
    <col min="1" max="1" width="12.7265625" style="364" customWidth="1"/>
    <col min="2" max="2" width="124.7265625" style="11" customWidth="1"/>
    <col min="3" max="4" width="9.1796875" style="364"/>
    <col min="5" max="5" width="124.7265625" style="7" customWidth="1"/>
    <col min="8" max="8" width="124.7265625" style="365" customWidth="1"/>
  </cols>
  <sheetData>
    <row r="2" spans="1:15" x14ac:dyDescent="0.25">
      <c r="A2" s="364" t="str">
        <f>'Variable Mgmt'!K52</f>
        <v>SCH_BIPOLAR_UVLOadj_SSadj_TCyes</v>
      </c>
    </row>
    <row r="5" spans="1:15" s="364" customFormat="1" ht="13.5" customHeight="1" x14ac:dyDescent="0.25">
      <c r="E5" s="365"/>
      <c r="H5" s="365"/>
    </row>
    <row r="6" spans="1:15" s="364" customFormat="1" ht="16.5" customHeight="1" x14ac:dyDescent="0.25">
      <c r="E6" s="365"/>
      <c r="H6" s="365"/>
    </row>
    <row r="7" spans="1:15" ht="357" customHeight="1" x14ac:dyDescent="0.25">
      <c r="B7" s="12"/>
      <c r="E7" s="391"/>
      <c r="F7" s="11"/>
      <c r="G7" s="11"/>
      <c r="I7" s="11"/>
      <c r="J7" s="11"/>
      <c r="K7" s="11"/>
      <c r="L7" s="11"/>
      <c r="M7" s="11"/>
      <c r="N7" s="11"/>
    </row>
    <row r="8" spans="1:15" s="364" customFormat="1" ht="17.25" customHeight="1" x14ac:dyDescent="0.25">
      <c r="B8" s="365"/>
      <c r="E8" s="365"/>
      <c r="H8" s="365"/>
      <c r="O8" s="366"/>
    </row>
    <row r="9" spans="1:15" ht="357" customHeight="1" x14ac:dyDescent="0.25">
      <c r="B9" s="112"/>
      <c r="D9" s="365"/>
      <c r="E9" s="391"/>
      <c r="F9" s="364"/>
      <c r="G9" s="11"/>
      <c r="I9" s="11"/>
      <c r="J9" s="11"/>
      <c r="K9" s="11"/>
      <c r="L9" s="11"/>
      <c r="M9" s="11"/>
      <c r="N9" s="11"/>
      <c r="O9" s="367"/>
    </row>
    <row r="10" spans="1:15" s="364" customFormat="1" x14ac:dyDescent="0.25">
      <c r="E10" s="365"/>
      <c r="H10" s="365"/>
    </row>
    <row r="11" spans="1:15" ht="357" customHeight="1" x14ac:dyDescent="0.25">
      <c r="B11" s="391"/>
      <c r="D11" s="365"/>
      <c r="E11" s="365"/>
      <c r="F11" s="364"/>
      <c r="G11" s="11"/>
      <c r="I11" s="11"/>
      <c r="J11" s="11"/>
      <c r="K11" s="11"/>
      <c r="L11" s="11"/>
      <c r="M11" s="11"/>
      <c r="N11" s="11"/>
      <c r="O11" s="367"/>
    </row>
    <row r="12" spans="1:15" x14ac:dyDescent="0.25">
      <c r="B12" s="364"/>
      <c r="E12" s="365"/>
      <c r="F12" s="364"/>
      <c r="G12" s="11"/>
      <c r="I12" s="11"/>
      <c r="J12" s="11"/>
      <c r="K12" s="11"/>
      <c r="L12" s="11"/>
      <c r="M12" s="11"/>
      <c r="N12" s="11"/>
    </row>
    <row r="13" spans="1:15" ht="357" customHeight="1" x14ac:dyDescent="0.25">
      <c r="B13" s="391"/>
      <c r="E13" s="365"/>
      <c r="F13" s="364"/>
      <c r="G13" s="11"/>
      <c r="I13" s="11"/>
      <c r="J13" s="11"/>
      <c r="K13" s="11"/>
      <c r="L13" s="11"/>
      <c r="M13" s="11"/>
      <c r="N13" s="11"/>
      <c r="O13" s="367"/>
    </row>
    <row r="14" spans="1:15" x14ac:dyDescent="0.25">
      <c r="B14" s="364"/>
      <c r="E14" s="365"/>
      <c r="F14" s="364"/>
      <c r="G14" s="11"/>
      <c r="I14" s="11"/>
      <c r="J14" s="11"/>
      <c r="K14" s="11"/>
      <c r="L14" s="11"/>
      <c r="M14" s="11"/>
      <c r="N14" s="11"/>
    </row>
    <row r="15" spans="1:15" ht="357" customHeight="1" x14ac:dyDescent="0.25">
      <c r="E15" s="365"/>
      <c r="F15" s="364"/>
      <c r="G15" s="11"/>
      <c r="I15" s="11"/>
      <c r="J15" s="11"/>
      <c r="K15" s="11"/>
      <c r="L15" s="11"/>
      <c r="M15" s="11"/>
      <c r="N15" s="11"/>
      <c r="O15" s="367"/>
    </row>
    <row r="16" spans="1:15" x14ac:dyDescent="0.25">
      <c r="B16" s="364"/>
      <c r="E16" s="365"/>
      <c r="F16" s="11"/>
      <c r="G16" s="11"/>
      <c r="I16" s="11"/>
      <c r="J16" s="11"/>
      <c r="K16" s="11"/>
      <c r="L16" s="11"/>
      <c r="M16" s="11"/>
      <c r="N16" s="11"/>
    </row>
    <row r="17" spans="2:15" ht="357" customHeight="1" x14ac:dyDescent="0.25">
      <c r="B17" s="391"/>
      <c r="E17" s="365"/>
      <c r="F17" s="364"/>
      <c r="G17" s="11"/>
      <c r="I17" s="11"/>
      <c r="J17" s="11"/>
      <c r="K17" s="11"/>
      <c r="L17" s="11"/>
      <c r="M17" s="11"/>
      <c r="N17" s="11"/>
      <c r="O17" s="367"/>
    </row>
    <row r="18" spans="2:15" ht="12" customHeight="1" x14ac:dyDescent="0.25">
      <c r="B18" s="364"/>
      <c r="E18" s="365"/>
      <c r="F18" s="11"/>
      <c r="G18" s="11"/>
      <c r="I18" s="11"/>
      <c r="J18" s="11"/>
      <c r="K18" s="11"/>
      <c r="L18" s="11"/>
      <c r="M18" s="11"/>
      <c r="N18" s="11"/>
    </row>
    <row r="19" spans="2:15" ht="357" customHeight="1" x14ac:dyDescent="0.25">
      <c r="B19" s="364"/>
      <c r="E19" s="365"/>
      <c r="F19" s="11"/>
      <c r="G19" s="11"/>
      <c r="I19" s="11"/>
      <c r="J19" s="11"/>
      <c r="K19" s="11"/>
      <c r="L19" s="11"/>
      <c r="M19" s="11"/>
      <c r="N19" s="11"/>
    </row>
    <row r="20" spans="2:15" ht="13.5" customHeight="1" x14ac:dyDescent="0.25">
      <c r="B20" s="364"/>
      <c r="E20" s="365"/>
      <c r="F20" s="11"/>
      <c r="G20" s="11"/>
      <c r="I20" s="11"/>
      <c r="J20" s="11"/>
      <c r="K20" s="11"/>
      <c r="L20" s="11"/>
      <c r="M20" s="11"/>
      <c r="N20" s="11"/>
    </row>
    <row r="21" spans="2:15" ht="357" customHeight="1" x14ac:dyDescent="0.25">
      <c r="B21" s="364"/>
      <c r="E21" s="365"/>
      <c r="F21" s="11"/>
      <c r="G21" s="11"/>
      <c r="I21" s="11"/>
      <c r="J21" s="11"/>
      <c r="K21" s="11"/>
      <c r="L21" s="11"/>
      <c r="M21" s="11"/>
      <c r="N21" s="11"/>
    </row>
    <row r="22" spans="2:15" x14ac:dyDescent="0.25">
      <c r="B22" s="364"/>
      <c r="E22" s="365"/>
      <c r="F22" s="11"/>
      <c r="G22" s="11"/>
      <c r="I22" s="11"/>
      <c r="J22" s="11"/>
      <c r="K22" s="11"/>
      <c r="L22" s="11"/>
      <c r="M22" s="11"/>
      <c r="N22" s="11"/>
    </row>
    <row r="23" spans="2:15" ht="357" customHeight="1" x14ac:dyDescent="0.25">
      <c r="B23" s="364"/>
      <c r="E23" s="365"/>
      <c r="F23" s="11"/>
      <c r="G23" s="11"/>
      <c r="I23" s="11"/>
      <c r="J23" s="11"/>
      <c r="K23" s="11"/>
      <c r="L23" s="11"/>
      <c r="M23" s="11"/>
      <c r="N23" s="11"/>
    </row>
    <row r="24" spans="2:15" x14ac:dyDescent="0.25">
      <c r="B24" s="364"/>
      <c r="E24" s="365"/>
      <c r="F24" s="11"/>
      <c r="G24" s="11"/>
      <c r="I24" s="11"/>
      <c r="J24" s="11"/>
      <c r="K24" s="11"/>
      <c r="L24" s="11"/>
      <c r="M24" s="11"/>
      <c r="N24" s="11"/>
    </row>
    <row r="25" spans="2:15" ht="327.75" customHeight="1" x14ac:dyDescent="0.25">
      <c r="B25" s="364"/>
      <c r="E25" s="365"/>
      <c r="F25" s="11"/>
      <c r="G25" s="11"/>
      <c r="I25" s="11"/>
      <c r="J25" s="11"/>
      <c r="K25" s="11"/>
      <c r="L25" s="11"/>
      <c r="M25" s="11"/>
      <c r="N25" s="11"/>
    </row>
    <row r="26" spans="2:15" x14ac:dyDescent="0.25">
      <c r="E26" s="365"/>
      <c r="F26" s="11"/>
      <c r="G26" s="11"/>
      <c r="I26" s="11"/>
      <c r="J26" s="11"/>
      <c r="K26" s="11"/>
      <c r="L26" s="11"/>
      <c r="M26" s="11"/>
      <c r="N26" s="11"/>
    </row>
    <row r="27" spans="2:15" ht="327.64999999999998" customHeight="1" x14ac:dyDescent="0.25">
      <c r="B27" s="364"/>
      <c r="E27" s="365"/>
      <c r="F27" s="11"/>
      <c r="G27" s="11"/>
      <c r="I27" s="11"/>
      <c r="J27" s="11"/>
      <c r="K27" s="11"/>
      <c r="L27" s="11"/>
      <c r="M27" s="11"/>
      <c r="N27" s="11"/>
    </row>
    <row r="28" spans="2:15" x14ac:dyDescent="0.25">
      <c r="B28" s="364"/>
      <c r="E28" s="365"/>
      <c r="F28" s="11"/>
      <c r="G28" s="11"/>
      <c r="I28" s="11"/>
      <c r="J28" s="11"/>
      <c r="K28" s="11"/>
      <c r="L28" s="11"/>
      <c r="M28" s="11"/>
      <c r="N28" s="11"/>
    </row>
    <row r="29" spans="2:15" ht="327.75" customHeight="1" x14ac:dyDescent="0.25">
      <c r="B29" s="364"/>
      <c r="E29" s="365"/>
      <c r="F29" s="11"/>
      <c r="G29" s="11"/>
      <c r="I29" s="11"/>
      <c r="J29" s="11"/>
      <c r="K29" s="11"/>
      <c r="L29" s="11"/>
      <c r="M29" s="11"/>
      <c r="N29" s="11"/>
    </row>
    <row r="30" spans="2:15" ht="13.5" customHeight="1" x14ac:dyDescent="0.25">
      <c r="B30" s="364"/>
      <c r="E30" s="365"/>
      <c r="F30" s="11"/>
      <c r="G30" s="11"/>
      <c r="I30" s="11"/>
      <c r="J30" s="11"/>
      <c r="K30" s="11"/>
      <c r="L30" s="11"/>
      <c r="M30" s="11"/>
      <c r="N30" s="11"/>
    </row>
    <row r="31" spans="2:15" ht="327.75" customHeight="1" x14ac:dyDescent="0.25">
      <c r="B31" s="364"/>
      <c r="E31" s="365"/>
      <c r="F31" s="11"/>
      <c r="G31" s="11"/>
      <c r="I31" s="11"/>
      <c r="J31" s="11"/>
      <c r="K31" s="11"/>
      <c r="L31" s="11"/>
      <c r="M31" s="11"/>
      <c r="N31" s="11"/>
    </row>
    <row r="32" spans="2:15" ht="13.5" customHeight="1" x14ac:dyDescent="0.25">
      <c r="B32" s="364"/>
      <c r="E32" s="365"/>
      <c r="F32" s="11"/>
      <c r="G32" s="11"/>
      <c r="I32" s="11"/>
      <c r="J32" s="11"/>
      <c r="K32" s="11"/>
      <c r="L32" s="11"/>
      <c r="M32" s="11"/>
      <c r="N32" s="11"/>
    </row>
    <row r="33" spans="2:20" ht="327.75" customHeight="1" x14ac:dyDescent="0.25">
      <c r="B33" s="364"/>
      <c r="E33" s="365"/>
      <c r="F33" s="11"/>
      <c r="G33" s="11"/>
      <c r="I33" s="11"/>
      <c r="J33" s="11"/>
      <c r="K33" s="11"/>
      <c r="L33" s="11"/>
      <c r="M33" s="11"/>
      <c r="N33" s="11"/>
    </row>
    <row r="34" spans="2:20" ht="13.5" customHeight="1" x14ac:dyDescent="0.25">
      <c r="B34" s="364"/>
      <c r="E34" s="365"/>
      <c r="F34" s="11"/>
      <c r="G34" s="11"/>
      <c r="I34" s="11"/>
      <c r="J34" s="11"/>
      <c r="K34" s="11"/>
      <c r="L34" s="11"/>
      <c r="M34" s="11"/>
      <c r="N34" s="11"/>
    </row>
    <row r="35" spans="2:20" ht="327.64999999999998" customHeight="1" x14ac:dyDescent="0.25">
      <c r="B35" s="364"/>
      <c r="E35" s="365"/>
      <c r="F35" s="11"/>
      <c r="G35" s="11"/>
      <c r="I35" s="11"/>
      <c r="J35" s="11"/>
      <c r="K35" s="11"/>
      <c r="L35" s="11"/>
      <c r="M35" s="11"/>
      <c r="N35" s="11"/>
    </row>
    <row r="36" spans="2:20" ht="13.5" customHeight="1" x14ac:dyDescent="0.25">
      <c r="B36" s="364"/>
      <c r="E36" s="365"/>
      <c r="F36" s="11"/>
      <c r="G36" s="11"/>
      <c r="I36" s="11"/>
      <c r="J36" s="11"/>
      <c r="K36" s="11"/>
      <c r="L36" s="11"/>
      <c r="M36" s="11"/>
      <c r="N36" s="11"/>
    </row>
    <row r="37" spans="2:20" ht="327.75" customHeight="1" x14ac:dyDescent="0.25">
      <c r="B37" s="364"/>
      <c r="E37" s="365"/>
      <c r="F37" s="11"/>
      <c r="G37" s="11"/>
      <c r="I37" s="11"/>
      <c r="J37" s="11"/>
      <c r="K37" s="11"/>
      <c r="L37" s="11"/>
      <c r="M37" s="11"/>
      <c r="N37" s="11"/>
    </row>
    <row r="38" spans="2:20" ht="13.5" customHeight="1" x14ac:dyDescent="0.45">
      <c r="B38" s="364"/>
      <c r="E38" s="365"/>
      <c r="F38" s="11"/>
      <c r="G38" s="368"/>
      <c r="I38" s="369"/>
      <c r="J38" s="11"/>
      <c r="K38" s="11"/>
      <c r="L38" s="11"/>
      <c r="M38" s="11"/>
      <c r="N38" s="11"/>
    </row>
    <row r="39" spans="2:20" ht="327.75" customHeight="1" x14ac:dyDescent="0.25">
      <c r="B39" s="364"/>
      <c r="E39" s="365"/>
      <c r="F39" s="11"/>
      <c r="G39" s="11"/>
      <c r="I39" s="369"/>
      <c r="J39" s="11"/>
      <c r="K39" s="11"/>
      <c r="L39" s="11"/>
      <c r="M39" s="11"/>
      <c r="N39" s="11"/>
    </row>
    <row r="40" spans="2:20" x14ac:dyDescent="0.25">
      <c r="B40" s="364"/>
      <c r="E40" s="365"/>
      <c r="F40" s="11"/>
      <c r="G40" s="11"/>
      <c r="I40" s="11"/>
      <c r="J40" s="11"/>
      <c r="K40" s="11"/>
      <c r="L40" s="11"/>
      <c r="M40" s="11"/>
      <c r="N40" s="11"/>
      <c r="O40" s="11"/>
      <c r="P40" s="11"/>
      <c r="Q40" s="13"/>
      <c r="S40" s="370"/>
      <c r="T40" s="370"/>
    </row>
    <row r="41" spans="2:20" ht="327.75" customHeight="1" x14ac:dyDescent="0.25">
      <c r="B41" s="364"/>
      <c r="E41" s="365"/>
      <c r="F41" s="11"/>
      <c r="G41" s="11"/>
      <c r="I41" s="11"/>
      <c r="J41" s="11"/>
      <c r="K41" s="11"/>
      <c r="L41" s="11"/>
      <c r="M41" s="11"/>
      <c r="N41" s="11"/>
      <c r="O41" s="11"/>
      <c r="P41" s="11"/>
      <c r="Q41" s="13"/>
      <c r="S41" s="370"/>
    </row>
    <row r="42" spans="2:20" x14ac:dyDescent="0.25">
      <c r="B42" s="364"/>
      <c r="E42" s="365"/>
      <c r="F42" s="11"/>
      <c r="G42" s="11"/>
      <c r="I42" s="11"/>
      <c r="J42" s="11"/>
      <c r="K42" s="11"/>
      <c r="L42" s="11"/>
      <c r="M42" s="11"/>
      <c r="N42" s="11"/>
      <c r="O42" s="11"/>
      <c r="P42" s="11"/>
      <c r="Q42" s="13"/>
      <c r="S42" s="370"/>
    </row>
    <row r="43" spans="2:20" ht="327.75" customHeight="1" x14ac:dyDescent="0.25">
      <c r="B43" s="364"/>
      <c r="E43" s="365"/>
      <c r="F43" s="11"/>
      <c r="G43" s="11"/>
      <c r="I43" s="11"/>
      <c r="J43" s="11"/>
      <c r="K43" s="11"/>
      <c r="L43" s="11"/>
      <c r="M43" s="11"/>
      <c r="N43" s="11"/>
      <c r="O43" s="11"/>
      <c r="P43" s="11"/>
      <c r="Q43" s="13"/>
      <c r="S43" s="370"/>
    </row>
    <row r="44" spans="2:20" x14ac:dyDescent="0.25">
      <c r="B44" s="364"/>
      <c r="E44" s="365"/>
      <c r="F44" s="11"/>
      <c r="G44" s="11"/>
      <c r="I44" s="11"/>
      <c r="J44" s="11"/>
      <c r="K44" s="11"/>
      <c r="L44" s="11"/>
      <c r="M44" s="11"/>
      <c r="N44" s="11"/>
      <c r="O44" s="11"/>
      <c r="P44" s="11"/>
      <c r="Q44" s="13"/>
      <c r="S44" s="370"/>
    </row>
    <row r="45" spans="2:20" ht="327.75" customHeight="1" x14ac:dyDescent="0.25">
      <c r="B45" s="364"/>
      <c r="E45" s="365"/>
      <c r="F45" s="11"/>
      <c r="G45" s="11"/>
      <c r="I45" s="11"/>
      <c r="J45" s="11"/>
      <c r="K45" s="11"/>
      <c r="L45" s="11"/>
      <c r="M45" s="11"/>
      <c r="N45" s="11"/>
      <c r="O45" s="11"/>
      <c r="P45" s="11"/>
      <c r="Q45" s="13"/>
      <c r="S45" s="370"/>
    </row>
    <row r="46" spans="2:20" x14ac:dyDescent="0.25">
      <c r="B46" s="364"/>
      <c r="E46" s="365"/>
      <c r="F46" s="11"/>
      <c r="G46" s="11"/>
      <c r="I46" s="11"/>
      <c r="J46" s="11"/>
      <c r="K46" s="11"/>
      <c r="L46" s="11"/>
      <c r="M46" s="11"/>
      <c r="N46" s="11"/>
      <c r="O46" s="11"/>
      <c r="P46" s="11"/>
      <c r="Q46" s="13"/>
      <c r="S46" s="370"/>
    </row>
    <row r="47" spans="2:20" ht="327.75" customHeight="1" x14ac:dyDescent="0.3">
      <c r="B47" s="364"/>
      <c r="E47" s="365"/>
      <c r="F47" s="11"/>
      <c r="G47" s="11"/>
      <c r="I47" s="11"/>
      <c r="J47" s="11"/>
      <c r="K47" s="11"/>
      <c r="L47" s="11"/>
      <c r="M47" s="11"/>
      <c r="N47" s="11"/>
      <c r="O47" s="11"/>
      <c r="P47" s="11"/>
      <c r="Q47" s="13"/>
      <c r="S47" s="371"/>
    </row>
    <row r="48" spans="2:20" x14ac:dyDescent="0.25">
      <c r="B48" s="364"/>
      <c r="E48" s="365"/>
      <c r="F48" s="11"/>
      <c r="G48" s="11"/>
      <c r="I48" s="11"/>
      <c r="J48" s="11"/>
      <c r="K48" s="11"/>
      <c r="L48" s="11"/>
      <c r="M48" s="11"/>
      <c r="N48" s="11"/>
      <c r="O48" s="11"/>
      <c r="P48" s="11"/>
      <c r="Q48" s="13"/>
      <c r="S48" s="370"/>
    </row>
    <row r="49" spans="2:19" ht="327.75" customHeight="1" x14ac:dyDescent="0.25">
      <c r="B49" s="364"/>
      <c r="E49" s="365"/>
      <c r="F49" s="11"/>
      <c r="G49" s="11"/>
      <c r="I49" s="11"/>
      <c r="J49" s="11"/>
      <c r="K49" s="11"/>
      <c r="L49" s="11"/>
      <c r="M49" s="11"/>
      <c r="N49" s="11"/>
      <c r="O49" s="11"/>
      <c r="P49" s="11"/>
      <c r="Q49" s="13"/>
      <c r="S49" s="370"/>
    </row>
    <row r="50" spans="2:19" x14ac:dyDescent="0.25">
      <c r="B50" s="364"/>
      <c r="E50" s="365"/>
      <c r="F50" s="11"/>
      <c r="G50" s="11"/>
      <c r="I50" s="11"/>
      <c r="J50" s="11"/>
      <c r="K50" s="11"/>
      <c r="L50" s="11"/>
      <c r="M50" s="11"/>
      <c r="N50" s="11"/>
      <c r="O50" s="11"/>
      <c r="P50" s="11"/>
      <c r="Q50" s="13"/>
      <c r="S50" s="370"/>
    </row>
    <row r="51" spans="2:19" x14ac:dyDescent="0.25">
      <c r="B51" s="364"/>
      <c r="E51" s="365"/>
      <c r="F51" s="11"/>
      <c r="G51" s="11"/>
      <c r="I51" s="11"/>
      <c r="J51" s="11"/>
      <c r="K51" s="11"/>
      <c r="L51" s="11"/>
      <c r="M51" s="11"/>
      <c r="N51" s="11"/>
      <c r="O51" s="11"/>
      <c r="P51" s="11"/>
      <c r="Q51" s="13"/>
      <c r="S51" s="370"/>
    </row>
    <row r="52" spans="2:19" x14ac:dyDescent="0.25">
      <c r="B52" s="364"/>
      <c r="E52" s="365"/>
      <c r="F52" s="11"/>
      <c r="G52" s="11"/>
      <c r="I52" s="11"/>
      <c r="J52" s="11"/>
      <c r="K52" s="11"/>
      <c r="L52" s="11"/>
      <c r="M52" s="11"/>
      <c r="N52" s="11"/>
      <c r="O52" s="11"/>
      <c r="P52" s="11"/>
      <c r="Q52" s="13"/>
      <c r="S52" s="370"/>
    </row>
    <row r="53" spans="2:19" x14ac:dyDescent="0.25">
      <c r="B53" s="364"/>
      <c r="E53" s="365"/>
      <c r="F53" s="11"/>
      <c r="G53" s="11"/>
      <c r="I53" s="11"/>
      <c r="J53" s="11"/>
      <c r="K53" s="11"/>
      <c r="L53" s="11"/>
      <c r="M53" s="11"/>
      <c r="N53" s="11"/>
    </row>
    <row r="54" spans="2:19" x14ac:dyDescent="0.25">
      <c r="B54" s="364"/>
      <c r="E54" s="365"/>
      <c r="F54" s="11"/>
      <c r="G54" s="11"/>
      <c r="I54" s="11"/>
      <c r="J54" s="11"/>
      <c r="K54" s="11"/>
      <c r="L54" s="11"/>
      <c r="M54" s="11"/>
      <c r="N54" s="11"/>
    </row>
    <row r="55" spans="2:19" ht="13" x14ac:dyDescent="0.3">
      <c r="B55" s="364"/>
      <c r="E55" s="365"/>
      <c r="F55" s="11"/>
      <c r="G55" s="11"/>
      <c r="I55" s="11"/>
      <c r="J55" s="11"/>
      <c r="K55" s="11"/>
      <c r="L55" s="11"/>
      <c r="M55" s="11"/>
      <c r="N55" s="11"/>
      <c r="R55" s="14"/>
    </row>
    <row r="56" spans="2:19" x14ac:dyDescent="0.25">
      <c r="B56" s="364"/>
      <c r="E56" s="365"/>
      <c r="F56" s="11"/>
      <c r="G56" s="11"/>
      <c r="I56" s="11"/>
      <c r="J56" s="11"/>
      <c r="K56" s="11"/>
      <c r="L56" s="11"/>
      <c r="M56" s="11"/>
      <c r="N56" s="11"/>
    </row>
    <row r="57" spans="2:19" x14ac:dyDescent="0.25">
      <c r="B57" s="364"/>
      <c r="E57" s="365"/>
      <c r="F57" s="11"/>
      <c r="G57" s="11"/>
      <c r="I57" s="11"/>
      <c r="J57" s="11"/>
      <c r="K57" s="11"/>
      <c r="L57" s="11"/>
      <c r="M57" s="11"/>
      <c r="N57" s="11"/>
    </row>
    <row r="58" spans="2:19" x14ac:dyDescent="0.25">
      <c r="E58" s="12"/>
      <c r="F58" s="11"/>
      <c r="G58" s="11"/>
      <c r="I58" s="11"/>
      <c r="J58" s="11"/>
      <c r="K58" s="11"/>
      <c r="L58" s="11"/>
      <c r="M58" s="11"/>
      <c r="N58" s="11"/>
    </row>
    <row r="59" spans="2:19" x14ac:dyDescent="0.25">
      <c r="E59" s="12"/>
      <c r="F59" s="11"/>
      <c r="G59" s="11"/>
      <c r="I59" s="11"/>
      <c r="J59" s="11"/>
      <c r="K59" s="11"/>
      <c r="L59" s="11"/>
      <c r="M59" s="11"/>
      <c r="N59" s="11"/>
    </row>
    <row r="60" spans="2:19" x14ac:dyDescent="0.25">
      <c r="E60" s="12"/>
      <c r="F60" s="11"/>
      <c r="G60" s="11"/>
      <c r="I60" s="11"/>
      <c r="J60" s="11"/>
      <c r="K60" s="11"/>
      <c r="L60" s="11"/>
      <c r="M60" s="11"/>
      <c r="N60" s="11"/>
    </row>
    <row r="61" spans="2:19" x14ac:dyDescent="0.25">
      <c r="E61" s="12"/>
      <c r="F61" s="11"/>
      <c r="G61" s="11"/>
      <c r="I61" s="11"/>
      <c r="J61" s="11"/>
      <c r="K61" s="11"/>
      <c r="L61" s="11"/>
      <c r="M61" s="11"/>
      <c r="N61" s="11"/>
    </row>
    <row r="62" spans="2:19" x14ac:dyDescent="0.25">
      <c r="E62" s="12"/>
      <c r="F62" s="11"/>
      <c r="G62" s="11"/>
      <c r="I62" s="11"/>
      <c r="J62" s="11"/>
      <c r="K62" s="11"/>
      <c r="L62" s="11"/>
      <c r="M62" s="11"/>
      <c r="N62" s="11"/>
    </row>
    <row r="63" spans="2:19" x14ac:dyDescent="0.25">
      <c r="E63" s="12"/>
      <c r="F63" s="11"/>
      <c r="G63" s="11"/>
      <c r="I63" s="11"/>
      <c r="J63" s="11"/>
      <c r="K63" s="11"/>
      <c r="L63" s="11"/>
      <c r="M63" s="11"/>
      <c r="N63" s="11"/>
    </row>
    <row r="64" spans="2:19" x14ac:dyDescent="0.25">
      <c r="E64" s="12"/>
      <c r="F64" s="11"/>
      <c r="G64" s="11"/>
      <c r="I64" s="11"/>
      <c r="J64" s="11"/>
      <c r="K64" s="11"/>
      <c r="L64" s="11"/>
      <c r="M64" s="11"/>
      <c r="N64" s="11"/>
    </row>
    <row r="65" spans="5:18" x14ac:dyDescent="0.25">
      <c r="E65" s="12"/>
      <c r="F65" s="11"/>
      <c r="G65" s="11"/>
      <c r="I65" s="11"/>
      <c r="J65" s="11"/>
      <c r="K65" s="11"/>
      <c r="L65" s="11"/>
      <c r="M65" s="11"/>
      <c r="N65" s="11"/>
    </row>
    <row r="66" spans="5:18" ht="13" x14ac:dyDescent="0.3">
      <c r="E66" s="12"/>
      <c r="F66" s="11"/>
      <c r="G66" s="11"/>
      <c r="I66" s="11"/>
      <c r="J66" s="11"/>
      <c r="K66" s="11"/>
      <c r="L66" s="11"/>
      <c r="M66" s="11"/>
      <c r="N66" s="11"/>
      <c r="R66" s="14"/>
    </row>
    <row r="67" spans="5:18" x14ac:dyDescent="0.25">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5" x14ac:dyDescent="0.25"/>
  <cols>
    <col min="1" max="1" width="17.26953125" customWidth="1"/>
    <col min="2" max="2" width="12" bestFit="1" customWidth="1"/>
    <col min="8" max="8" width="12.1796875" customWidth="1"/>
    <col min="9" max="9" width="12.453125" bestFit="1" customWidth="1"/>
    <col min="10" max="10" width="15.453125" customWidth="1"/>
  </cols>
  <sheetData>
    <row r="2" spans="1:11" x14ac:dyDescent="0.25">
      <c r="A2" t="s">
        <v>68</v>
      </c>
      <c r="B2" t="s">
        <v>66</v>
      </c>
      <c r="C2" t="s">
        <v>14</v>
      </c>
      <c r="D2" t="s">
        <v>28</v>
      </c>
      <c r="E2" t="s">
        <v>75</v>
      </c>
    </row>
    <row r="3" spans="1:11" ht="13" x14ac:dyDescent="0.3">
      <c r="A3" t="s">
        <v>71</v>
      </c>
      <c r="B3">
        <f>Css</f>
        <v>4.4999999999999999E-8</v>
      </c>
      <c r="C3">
        <f>Cout</f>
        <v>100</v>
      </c>
      <c r="D3">
        <f>Cin</f>
        <v>10</v>
      </c>
      <c r="E3">
        <f>Cb</f>
        <v>0</v>
      </c>
      <c r="H3" t="s">
        <v>73</v>
      </c>
      <c r="I3" t="s">
        <v>74</v>
      </c>
      <c r="J3" s="3" t="s">
        <v>70</v>
      </c>
    </row>
    <row r="4" spans="1:11" ht="13" x14ac:dyDescent="0.3">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x14ac:dyDescent="0.3">
      <c r="A5" t="s">
        <v>69</v>
      </c>
      <c r="J5" s="3"/>
      <c r="K5" s="17"/>
    </row>
    <row r="6" spans="1:11" ht="13" x14ac:dyDescent="0.3">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ht="13" x14ac:dyDescent="0.3">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ht="13" x14ac:dyDescent="0.3">
      <c r="A8">
        <v>0.68</v>
      </c>
      <c r="B8">
        <f t="shared" si="3"/>
        <v>0</v>
      </c>
      <c r="C8">
        <f t="shared" si="4"/>
        <v>0</v>
      </c>
      <c r="D8">
        <f t="shared" si="5"/>
        <v>0</v>
      </c>
      <c r="E8">
        <f t="shared" si="6"/>
        <v>0</v>
      </c>
      <c r="J8" s="3"/>
      <c r="K8" s="17"/>
    </row>
    <row r="9" spans="1:11" ht="13" x14ac:dyDescent="0.3">
      <c r="A9">
        <v>0.82</v>
      </c>
      <c r="B9">
        <f t="shared" si="3"/>
        <v>0</v>
      </c>
      <c r="C9">
        <f t="shared" si="4"/>
        <v>0</v>
      </c>
      <c r="D9">
        <f t="shared" si="5"/>
        <v>0</v>
      </c>
      <c r="E9">
        <f t="shared" si="6"/>
        <v>0</v>
      </c>
      <c r="H9" t="s">
        <v>383</v>
      </c>
      <c r="I9">
        <f>RTC_1</f>
        <v>326666.66666666669</v>
      </c>
      <c r="J9" s="3">
        <f t="shared" si="1"/>
        <v>324000</v>
      </c>
      <c r="K9" s="17" t="s">
        <v>136</v>
      </c>
    </row>
    <row r="10" spans="1:11" ht="13" x14ac:dyDescent="0.3">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7" t="s">
        <v>136</v>
      </c>
    </row>
    <row r="11" spans="1:11" ht="13" x14ac:dyDescent="0.3">
      <c r="A11">
        <v>1.2</v>
      </c>
      <c r="B11">
        <f t="shared" si="3"/>
        <v>0</v>
      </c>
      <c r="C11">
        <f t="shared" si="4"/>
        <v>0</v>
      </c>
      <c r="D11">
        <f t="shared" si="5"/>
        <v>0</v>
      </c>
      <c r="E11">
        <f t="shared" si="6"/>
        <v>0</v>
      </c>
      <c r="J11" s="3"/>
    </row>
    <row r="12" spans="1:11" ht="13" x14ac:dyDescent="0.3">
      <c r="A12">
        <v>1.5</v>
      </c>
      <c r="B12">
        <f t="shared" si="3"/>
        <v>0</v>
      </c>
      <c r="C12">
        <f t="shared" si="4"/>
        <v>0</v>
      </c>
      <c r="D12">
        <f t="shared" si="5"/>
        <v>0</v>
      </c>
      <c r="E12">
        <f t="shared" si="6"/>
        <v>0</v>
      </c>
      <c r="J12" s="3"/>
    </row>
    <row r="13" spans="1:11" ht="13" x14ac:dyDescent="0.3">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5">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5">
      <c r="A15">
        <v>2.7</v>
      </c>
      <c r="B15">
        <f t="shared" si="3"/>
        <v>0</v>
      </c>
      <c r="C15">
        <f t="shared" si="4"/>
        <v>0</v>
      </c>
      <c r="D15">
        <f t="shared" si="5"/>
        <v>0</v>
      </c>
      <c r="E15">
        <f t="shared" si="6"/>
        <v>0</v>
      </c>
    </row>
    <row r="16" spans="1:11" ht="13" x14ac:dyDescent="0.3">
      <c r="A16">
        <v>3.3</v>
      </c>
      <c r="B16">
        <f t="shared" si="3"/>
        <v>0</v>
      </c>
      <c r="C16">
        <f t="shared" si="4"/>
        <v>0</v>
      </c>
      <c r="D16">
        <f t="shared" si="5"/>
        <v>0</v>
      </c>
      <c r="E16">
        <f t="shared" si="6"/>
        <v>0</v>
      </c>
      <c r="H16" s="77" t="s">
        <v>130</v>
      </c>
      <c r="I16">
        <f>Ruvlo1</f>
        <v>333.3333333333332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17" t="s">
        <v>113</v>
      </c>
    </row>
    <row r="17" spans="1:11" ht="13" x14ac:dyDescent="0.3">
      <c r="A17">
        <v>3.9</v>
      </c>
      <c r="B17">
        <f t="shared" si="3"/>
        <v>0</v>
      </c>
      <c r="C17">
        <f t="shared" si="4"/>
        <v>0</v>
      </c>
      <c r="D17">
        <f t="shared" si="5"/>
        <v>0</v>
      </c>
      <c r="E17">
        <f t="shared" si="6"/>
        <v>0</v>
      </c>
      <c r="H17" s="77" t="s">
        <v>131</v>
      </c>
      <c r="I17" s="177">
        <f>Ruvlo2</f>
        <v>58.588235294117645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17" t="s">
        <v>113</v>
      </c>
    </row>
    <row r="18" spans="1:11" ht="13" x14ac:dyDescent="0.3">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5">
      <c r="A19">
        <v>5.6</v>
      </c>
      <c r="B19">
        <f t="shared" si="3"/>
        <v>0</v>
      </c>
      <c r="C19">
        <f t="shared" si="4"/>
        <v>0</v>
      </c>
      <c r="D19">
        <f t="shared" si="5"/>
        <v>0</v>
      </c>
      <c r="E19">
        <f t="shared" si="6"/>
        <v>0</v>
      </c>
    </row>
    <row r="20" spans="1:11" ht="13" x14ac:dyDescent="0.3">
      <c r="A20">
        <v>6.8</v>
      </c>
      <c r="B20">
        <f t="shared" si="3"/>
        <v>0</v>
      </c>
      <c r="C20">
        <f t="shared" si="4"/>
        <v>0</v>
      </c>
      <c r="D20">
        <f t="shared" si="5"/>
        <v>0</v>
      </c>
      <c r="E20">
        <f t="shared" si="6"/>
        <v>0</v>
      </c>
      <c r="H20" s="77"/>
      <c r="J20" s="3"/>
    </row>
    <row r="21" spans="1:11" ht="13" x14ac:dyDescent="0.3">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ht="13" x14ac:dyDescent="0.3">
      <c r="A22">
        <v>10</v>
      </c>
      <c r="B22">
        <f t="shared" si="3"/>
        <v>0</v>
      </c>
      <c r="C22">
        <f t="shared" si="4"/>
        <v>0</v>
      </c>
      <c r="D22">
        <f t="shared" si="5"/>
        <v>0</v>
      </c>
      <c r="E22">
        <f t="shared" si="6"/>
        <v>0</v>
      </c>
      <c r="H22" s="77"/>
      <c r="J22" s="3"/>
      <c r="K22" s="17"/>
    </row>
    <row r="23" spans="1:11" ht="13" x14ac:dyDescent="0.3">
      <c r="A23">
        <v>12</v>
      </c>
      <c r="B23">
        <f t="shared" si="3"/>
        <v>0</v>
      </c>
      <c r="C23">
        <f t="shared" si="4"/>
        <v>0</v>
      </c>
      <c r="D23">
        <f t="shared" si="5"/>
        <v>0</v>
      </c>
      <c r="E23">
        <f t="shared" si="6"/>
        <v>0</v>
      </c>
      <c r="H23" t="s">
        <v>838</v>
      </c>
      <c r="I23">
        <f>'Calculations - Single'!H329</f>
        <v>-5188.2352941176468</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x14ac:dyDescent="0.3">
      <c r="A24">
        <v>15</v>
      </c>
      <c r="B24">
        <f t="shared" si="3"/>
        <v>0</v>
      </c>
      <c r="C24">
        <f t="shared" si="4"/>
        <v>0</v>
      </c>
      <c r="D24">
        <f t="shared" si="5"/>
        <v>0</v>
      </c>
      <c r="E24">
        <f t="shared" si="6"/>
        <v>0</v>
      </c>
      <c r="H24" t="s">
        <v>849</v>
      </c>
      <c r="I24">
        <f>'Calculations - Dual'!H329</f>
        <v>-5188.2352941176468</v>
      </c>
      <c r="J24" s="3" t="e">
        <f t="shared" si="8"/>
        <v>#NUM!</v>
      </c>
    </row>
    <row r="25" spans="1:11" ht="13" x14ac:dyDescent="0.3">
      <c r="A25">
        <v>18</v>
      </c>
      <c r="B25">
        <f t="shared" si="3"/>
        <v>0</v>
      </c>
      <c r="C25">
        <f t="shared" si="4"/>
        <v>0</v>
      </c>
      <c r="D25">
        <f t="shared" si="5"/>
        <v>0</v>
      </c>
      <c r="E25">
        <f t="shared" si="6"/>
        <v>0</v>
      </c>
      <c r="H25" s="77" t="s">
        <v>848</v>
      </c>
      <c r="I25">
        <f>'Calculations - Dual'!O329</f>
        <v>-5188.2352941176468</v>
      </c>
      <c r="J25" s="3" t="e">
        <f t="shared" si="8"/>
        <v>#NUM!</v>
      </c>
      <c r="K25" s="17"/>
    </row>
    <row r="26" spans="1:11" x14ac:dyDescent="0.25">
      <c r="A26">
        <v>22</v>
      </c>
      <c r="B26">
        <f t="shared" si="3"/>
        <v>0</v>
      </c>
      <c r="C26">
        <f t="shared" si="4"/>
        <v>0</v>
      </c>
      <c r="D26">
        <f t="shared" si="5"/>
        <v>0</v>
      </c>
      <c r="E26">
        <f t="shared" si="6"/>
        <v>0</v>
      </c>
    </row>
    <row r="27" spans="1:11" x14ac:dyDescent="0.25">
      <c r="A27">
        <v>27</v>
      </c>
      <c r="B27">
        <f t="shared" si="3"/>
        <v>0</v>
      </c>
      <c r="C27">
        <f t="shared" si="4"/>
        <v>0</v>
      </c>
      <c r="D27">
        <f t="shared" si="5"/>
        <v>0</v>
      </c>
      <c r="E27">
        <f t="shared" si="6"/>
        <v>0</v>
      </c>
      <c r="H27" t="s">
        <v>859</v>
      </c>
      <c r="I27">
        <f>'Calculations - Single'!G327</f>
        <v>2.5599999999999998E-2</v>
      </c>
    </row>
    <row r="28" spans="1:11" ht="13" x14ac:dyDescent="0.3">
      <c r="A28">
        <v>33</v>
      </c>
      <c r="B28">
        <f t="shared" si="3"/>
        <v>0</v>
      </c>
      <c r="C28">
        <f t="shared" si="4"/>
        <v>0</v>
      </c>
      <c r="D28">
        <f t="shared" si="5"/>
        <v>0</v>
      </c>
      <c r="E28">
        <f t="shared" si="6"/>
        <v>0</v>
      </c>
      <c r="H28" s="77" t="s">
        <v>860</v>
      </c>
      <c r="I28">
        <f>'Calculations - Dual'!G327</f>
        <v>2.5599999999999998E-2</v>
      </c>
      <c r="K28" s="17"/>
    </row>
    <row r="29" spans="1:11" x14ac:dyDescent="0.25">
      <c r="A29">
        <v>39</v>
      </c>
      <c r="B29">
        <f t="shared" si="3"/>
        <v>0</v>
      </c>
      <c r="C29">
        <f t="shared" si="4"/>
        <v>0</v>
      </c>
      <c r="D29">
        <f t="shared" si="5"/>
        <v>0</v>
      </c>
      <c r="E29">
        <f t="shared" si="6"/>
        <v>0</v>
      </c>
      <c r="H29" s="77" t="s">
        <v>861</v>
      </c>
      <c r="I29">
        <f>'Calculations - Dual'!N327</f>
        <v>2.5599999999999998E-2</v>
      </c>
      <c r="K29" s="77"/>
    </row>
    <row r="30" spans="1:11" x14ac:dyDescent="0.25">
      <c r="A30">
        <v>47</v>
      </c>
      <c r="B30">
        <f t="shared" si="3"/>
        <v>0</v>
      </c>
      <c r="C30">
        <f t="shared" si="4"/>
        <v>0</v>
      </c>
      <c r="D30">
        <f t="shared" si="5"/>
        <v>0</v>
      </c>
      <c r="E30">
        <f t="shared" si="6"/>
        <v>0</v>
      </c>
      <c r="H30" s="4"/>
      <c r="K30" s="77"/>
    </row>
    <row r="31" spans="1:11" ht="13" x14ac:dyDescent="0.3">
      <c r="A31">
        <v>56</v>
      </c>
      <c r="B31">
        <f t="shared" si="3"/>
        <v>0</v>
      </c>
      <c r="C31">
        <f t="shared" si="4"/>
        <v>0</v>
      </c>
      <c r="D31">
        <f t="shared" si="5"/>
        <v>0</v>
      </c>
      <c r="E31">
        <f t="shared" si="6"/>
        <v>0</v>
      </c>
      <c r="H31" s="4">
        <f>Npri_sec2</f>
        <v>1.2</v>
      </c>
      <c r="K31" s="17"/>
    </row>
    <row r="32" spans="1:11" x14ac:dyDescent="0.25">
      <c r="A32">
        <v>68</v>
      </c>
      <c r="B32">
        <f t="shared" si="3"/>
        <v>0</v>
      </c>
      <c r="C32">
        <f t="shared" si="4"/>
        <v>0</v>
      </c>
      <c r="D32">
        <f t="shared" si="5"/>
        <v>0</v>
      </c>
      <c r="E32">
        <f t="shared" si="6"/>
        <v>0</v>
      </c>
      <c r="H32" s="4"/>
      <c r="K32" s="77"/>
    </row>
    <row r="33" spans="1:8" x14ac:dyDescent="0.25">
      <c r="A33">
        <v>82</v>
      </c>
      <c r="B33">
        <f t="shared" si="3"/>
        <v>0</v>
      </c>
      <c r="C33">
        <f t="shared" si="4"/>
        <v>0</v>
      </c>
      <c r="D33">
        <f t="shared" si="5"/>
        <v>0</v>
      </c>
      <c r="E33">
        <f t="shared" si="6"/>
        <v>0</v>
      </c>
    </row>
    <row r="34" spans="1:8" x14ac:dyDescent="0.25">
      <c r="A34">
        <f>A22*10</f>
        <v>100</v>
      </c>
      <c r="B34">
        <f t="shared" si="3"/>
        <v>0</v>
      </c>
      <c r="C34">
        <f t="shared" si="4"/>
        <v>0</v>
      </c>
      <c r="D34">
        <f t="shared" si="5"/>
        <v>0</v>
      </c>
      <c r="E34">
        <f t="shared" si="6"/>
        <v>0</v>
      </c>
      <c r="H34" s="77"/>
    </row>
    <row r="35" spans="1:8" x14ac:dyDescent="0.25">
      <c r="A35">
        <f t="shared" ref="A35:A98" si="9">A23*10</f>
        <v>120</v>
      </c>
      <c r="B35">
        <f t="shared" si="3"/>
        <v>0</v>
      </c>
      <c r="C35">
        <f t="shared" si="4"/>
        <v>0</v>
      </c>
      <c r="D35">
        <f t="shared" si="5"/>
        <v>0</v>
      </c>
      <c r="E35">
        <f t="shared" si="6"/>
        <v>0</v>
      </c>
      <c r="H35" s="77"/>
    </row>
    <row r="36" spans="1:8" x14ac:dyDescent="0.25">
      <c r="A36">
        <f t="shared" si="9"/>
        <v>150</v>
      </c>
      <c r="B36">
        <f t="shared" si="3"/>
        <v>0</v>
      </c>
      <c r="C36">
        <f t="shared" si="4"/>
        <v>0</v>
      </c>
      <c r="D36">
        <f t="shared" si="5"/>
        <v>0</v>
      </c>
      <c r="E36">
        <f t="shared" si="6"/>
        <v>0</v>
      </c>
    </row>
    <row r="37" spans="1:8" x14ac:dyDescent="0.25">
      <c r="A37">
        <f t="shared" si="9"/>
        <v>180</v>
      </c>
      <c r="B37">
        <f t="shared" si="3"/>
        <v>0</v>
      </c>
      <c r="C37">
        <f t="shared" si="4"/>
        <v>0</v>
      </c>
      <c r="D37">
        <f t="shared" si="5"/>
        <v>0</v>
      </c>
      <c r="E37">
        <f t="shared" si="6"/>
        <v>0</v>
      </c>
    </row>
    <row r="38" spans="1:8" x14ac:dyDescent="0.25">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5">
      <c r="A39">
        <f t="shared" si="9"/>
        <v>270</v>
      </c>
      <c r="B39">
        <f t="shared" si="3"/>
        <v>0</v>
      </c>
      <c r="C39">
        <f t="shared" si="4"/>
        <v>0</v>
      </c>
      <c r="D39">
        <f t="shared" si="5"/>
        <v>0</v>
      </c>
      <c r="E39">
        <f t="shared" si="10"/>
        <v>0</v>
      </c>
    </row>
    <row r="40" spans="1:8" x14ac:dyDescent="0.25">
      <c r="A40">
        <f t="shared" si="9"/>
        <v>330</v>
      </c>
      <c r="B40">
        <f t="shared" si="3"/>
        <v>0</v>
      </c>
      <c r="C40">
        <f t="shared" si="4"/>
        <v>0</v>
      </c>
      <c r="D40">
        <f t="shared" si="5"/>
        <v>0</v>
      </c>
      <c r="E40">
        <f t="shared" si="10"/>
        <v>0</v>
      </c>
    </row>
    <row r="41" spans="1:8" x14ac:dyDescent="0.25">
      <c r="A41">
        <f t="shared" si="9"/>
        <v>390</v>
      </c>
      <c r="B41">
        <f t="shared" si="3"/>
        <v>0</v>
      </c>
      <c r="C41">
        <f t="shared" si="4"/>
        <v>0</v>
      </c>
      <c r="D41">
        <f t="shared" si="5"/>
        <v>0</v>
      </c>
      <c r="E41">
        <f t="shared" si="10"/>
        <v>0</v>
      </c>
    </row>
    <row r="42" spans="1:8" x14ac:dyDescent="0.25">
      <c r="A42">
        <f t="shared" si="9"/>
        <v>470</v>
      </c>
      <c r="B42">
        <f t="shared" si="3"/>
        <v>0</v>
      </c>
      <c r="C42">
        <f t="shared" si="4"/>
        <v>0</v>
      </c>
      <c r="D42">
        <f t="shared" si="5"/>
        <v>0</v>
      </c>
      <c r="E42">
        <f t="shared" si="10"/>
        <v>0</v>
      </c>
    </row>
    <row r="43" spans="1:8" x14ac:dyDescent="0.25">
      <c r="A43">
        <f t="shared" si="9"/>
        <v>560</v>
      </c>
      <c r="B43">
        <f t="shared" si="3"/>
        <v>0</v>
      </c>
      <c r="C43">
        <f t="shared" si="4"/>
        <v>0</v>
      </c>
      <c r="D43">
        <f t="shared" si="5"/>
        <v>0</v>
      </c>
      <c r="E43">
        <f t="shared" si="10"/>
        <v>0</v>
      </c>
    </row>
    <row r="44" spans="1:8" x14ac:dyDescent="0.25">
      <c r="A44">
        <f t="shared" si="9"/>
        <v>680</v>
      </c>
      <c r="B44">
        <f t="shared" si="3"/>
        <v>0</v>
      </c>
      <c r="C44">
        <f t="shared" si="4"/>
        <v>0</v>
      </c>
      <c r="D44">
        <f t="shared" si="5"/>
        <v>0</v>
      </c>
      <c r="E44">
        <f t="shared" si="10"/>
        <v>0</v>
      </c>
    </row>
    <row r="45" spans="1:8" x14ac:dyDescent="0.25">
      <c r="A45">
        <f>A33*10</f>
        <v>820</v>
      </c>
      <c r="B45">
        <f t="shared" si="3"/>
        <v>0</v>
      </c>
      <c r="C45">
        <f t="shared" si="4"/>
        <v>0</v>
      </c>
      <c r="D45">
        <f t="shared" si="5"/>
        <v>0</v>
      </c>
      <c r="E45">
        <f t="shared" si="10"/>
        <v>0</v>
      </c>
    </row>
    <row r="46" spans="1:8" x14ac:dyDescent="0.25">
      <c r="A46">
        <f t="shared" si="9"/>
        <v>1000</v>
      </c>
      <c r="B46">
        <f t="shared" si="3"/>
        <v>0</v>
      </c>
      <c r="C46">
        <f t="shared" si="4"/>
        <v>0</v>
      </c>
      <c r="D46">
        <f t="shared" si="5"/>
        <v>0</v>
      </c>
      <c r="E46">
        <f t="shared" si="10"/>
        <v>0</v>
      </c>
    </row>
    <row r="47" spans="1:8" x14ac:dyDescent="0.25">
      <c r="A47">
        <f t="shared" si="9"/>
        <v>1200</v>
      </c>
      <c r="B47">
        <f t="shared" si="3"/>
        <v>0</v>
      </c>
      <c r="C47">
        <f t="shared" si="4"/>
        <v>0</v>
      </c>
      <c r="D47">
        <f t="shared" si="5"/>
        <v>0</v>
      </c>
      <c r="E47">
        <f t="shared" si="10"/>
        <v>0</v>
      </c>
    </row>
    <row r="48" spans="1:8" x14ac:dyDescent="0.25">
      <c r="A48">
        <f t="shared" si="9"/>
        <v>1500</v>
      </c>
      <c r="B48">
        <f t="shared" si="3"/>
        <v>0</v>
      </c>
      <c r="C48">
        <f t="shared" si="4"/>
        <v>0</v>
      </c>
      <c r="D48">
        <f t="shared" si="5"/>
        <v>0</v>
      </c>
      <c r="E48">
        <f t="shared" si="10"/>
        <v>0</v>
      </c>
    </row>
    <row r="49" spans="1:5" x14ac:dyDescent="0.25">
      <c r="A49">
        <f t="shared" si="9"/>
        <v>1800</v>
      </c>
      <c r="B49">
        <f t="shared" si="3"/>
        <v>0</v>
      </c>
      <c r="C49">
        <f t="shared" si="4"/>
        <v>0</v>
      </c>
      <c r="D49">
        <f t="shared" si="5"/>
        <v>0</v>
      </c>
      <c r="E49">
        <f t="shared" si="10"/>
        <v>0</v>
      </c>
    </row>
    <row r="50" spans="1:5" x14ac:dyDescent="0.25">
      <c r="A50">
        <f t="shared" si="9"/>
        <v>2200</v>
      </c>
      <c r="B50">
        <f t="shared" si="3"/>
        <v>0</v>
      </c>
      <c r="C50">
        <f t="shared" si="4"/>
        <v>0</v>
      </c>
      <c r="D50">
        <f t="shared" si="5"/>
        <v>0</v>
      </c>
      <c r="E50">
        <f t="shared" si="10"/>
        <v>0</v>
      </c>
    </row>
    <row r="51" spans="1:5" x14ac:dyDescent="0.25">
      <c r="A51">
        <f t="shared" si="9"/>
        <v>2700</v>
      </c>
      <c r="B51">
        <f t="shared" si="3"/>
        <v>0</v>
      </c>
      <c r="C51">
        <f t="shared" si="4"/>
        <v>0</v>
      </c>
      <c r="D51">
        <f t="shared" si="5"/>
        <v>0</v>
      </c>
      <c r="E51">
        <f t="shared" si="10"/>
        <v>0</v>
      </c>
    </row>
    <row r="52" spans="1:5" x14ac:dyDescent="0.25">
      <c r="A52">
        <f t="shared" si="9"/>
        <v>3300</v>
      </c>
      <c r="B52">
        <f t="shared" si="3"/>
        <v>0</v>
      </c>
      <c r="C52">
        <f t="shared" si="4"/>
        <v>0</v>
      </c>
      <c r="D52">
        <f t="shared" si="5"/>
        <v>0</v>
      </c>
      <c r="E52">
        <f t="shared" si="10"/>
        <v>0</v>
      </c>
    </row>
    <row r="53" spans="1:5" x14ac:dyDescent="0.25">
      <c r="A53">
        <f t="shared" si="9"/>
        <v>3900</v>
      </c>
      <c r="B53">
        <f t="shared" si="3"/>
        <v>0</v>
      </c>
      <c r="C53">
        <f t="shared" si="4"/>
        <v>0</v>
      </c>
      <c r="D53">
        <f t="shared" si="5"/>
        <v>0</v>
      </c>
      <c r="E53">
        <f t="shared" si="10"/>
        <v>0</v>
      </c>
    </row>
    <row r="54" spans="1:5" x14ac:dyDescent="0.25">
      <c r="A54">
        <f t="shared" si="9"/>
        <v>4700</v>
      </c>
      <c r="B54">
        <f t="shared" si="3"/>
        <v>0</v>
      </c>
      <c r="C54">
        <f t="shared" si="4"/>
        <v>0</v>
      </c>
      <c r="D54">
        <f t="shared" si="5"/>
        <v>0</v>
      </c>
      <c r="E54">
        <f t="shared" si="10"/>
        <v>0</v>
      </c>
    </row>
    <row r="55" spans="1:5" x14ac:dyDescent="0.25">
      <c r="A55">
        <f t="shared" si="9"/>
        <v>5600</v>
      </c>
      <c r="B55">
        <f t="shared" si="3"/>
        <v>0</v>
      </c>
      <c r="C55">
        <f t="shared" si="4"/>
        <v>0</v>
      </c>
      <c r="D55">
        <f t="shared" si="5"/>
        <v>0</v>
      </c>
      <c r="E55">
        <f t="shared" si="10"/>
        <v>0</v>
      </c>
    </row>
    <row r="56" spans="1:5" x14ac:dyDescent="0.25">
      <c r="A56">
        <f t="shared" si="9"/>
        <v>6800</v>
      </c>
      <c r="B56">
        <f t="shared" si="3"/>
        <v>0</v>
      </c>
      <c r="C56">
        <f t="shared" si="4"/>
        <v>0</v>
      </c>
      <c r="D56">
        <f t="shared" si="5"/>
        <v>0</v>
      </c>
      <c r="E56">
        <f t="shared" si="10"/>
        <v>0</v>
      </c>
    </row>
    <row r="57" spans="1:5" x14ac:dyDescent="0.25">
      <c r="A57">
        <f t="shared" si="9"/>
        <v>8200</v>
      </c>
      <c r="B57">
        <f t="shared" si="3"/>
        <v>0</v>
      </c>
      <c r="C57">
        <f t="shared" si="4"/>
        <v>0</v>
      </c>
      <c r="D57">
        <f t="shared" si="5"/>
        <v>0</v>
      </c>
      <c r="E57">
        <f t="shared" si="10"/>
        <v>0</v>
      </c>
    </row>
    <row r="58" spans="1:5" x14ac:dyDescent="0.25">
      <c r="A58">
        <f t="shared" si="9"/>
        <v>10000</v>
      </c>
      <c r="B58">
        <f t="shared" si="3"/>
        <v>0</v>
      </c>
      <c r="C58">
        <f t="shared" si="4"/>
        <v>0</v>
      </c>
      <c r="D58">
        <f t="shared" si="5"/>
        <v>0</v>
      </c>
      <c r="E58">
        <f t="shared" si="10"/>
        <v>0</v>
      </c>
    </row>
    <row r="59" spans="1:5" x14ac:dyDescent="0.25">
      <c r="A59">
        <f t="shared" si="9"/>
        <v>12000</v>
      </c>
      <c r="B59">
        <f t="shared" si="3"/>
        <v>0</v>
      </c>
      <c r="C59">
        <f t="shared" si="4"/>
        <v>0</v>
      </c>
      <c r="D59">
        <f t="shared" si="5"/>
        <v>0</v>
      </c>
      <c r="E59">
        <f t="shared" si="10"/>
        <v>0</v>
      </c>
    </row>
    <row r="60" spans="1:5" x14ac:dyDescent="0.25">
      <c r="A60">
        <f t="shared" si="9"/>
        <v>15000</v>
      </c>
      <c r="B60">
        <f t="shared" si="3"/>
        <v>0</v>
      </c>
      <c r="C60">
        <f t="shared" si="4"/>
        <v>0</v>
      </c>
      <c r="D60">
        <f t="shared" si="5"/>
        <v>0</v>
      </c>
      <c r="E60">
        <f t="shared" si="10"/>
        <v>0</v>
      </c>
    </row>
    <row r="61" spans="1:5" x14ac:dyDescent="0.25">
      <c r="A61">
        <f t="shared" si="9"/>
        <v>18000</v>
      </c>
      <c r="B61">
        <f t="shared" si="3"/>
        <v>0</v>
      </c>
      <c r="C61">
        <f t="shared" si="4"/>
        <v>0</v>
      </c>
      <c r="D61">
        <f t="shared" si="5"/>
        <v>0</v>
      </c>
      <c r="E61">
        <f t="shared" si="10"/>
        <v>0</v>
      </c>
    </row>
    <row r="62" spans="1:5" x14ac:dyDescent="0.25">
      <c r="A62">
        <f t="shared" si="9"/>
        <v>22000</v>
      </c>
      <c r="B62">
        <f t="shared" si="3"/>
        <v>0</v>
      </c>
      <c r="C62">
        <f t="shared" si="4"/>
        <v>0</v>
      </c>
      <c r="D62">
        <f t="shared" si="5"/>
        <v>0</v>
      </c>
      <c r="E62">
        <f t="shared" si="10"/>
        <v>0</v>
      </c>
    </row>
    <row r="63" spans="1:5" x14ac:dyDescent="0.25">
      <c r="A63">
        <f t="shared" si="9"/>
        <v>27000</v>
      </c>
      <c r="B63">
        <f t="shared" si="3"/>
        <v>0</v>
      </c>
      <c r="C63">
        <f t="shared" si="4"/>
        <v>0</v>
      </c>
      <c r="D63">
        <f t="shared" si="5"/>
        <v>0</v>
      </c>
      <c r="E63">
        <f t="shared" si="10"/>
        <v>0</v>
      </c>
    </row>
    <row r="64" spans="1:5" x14ac:dyDescent="0.25">
      <c r="A64">
        <f t="shared" si="9"/>
        <v>33000</v>
      </c>
      <c r="B64">
        <f t="shared" si="3"/>
        <v>0</v>
      </c>
      <c r="C64">
        <f t="shared" si="4"/>
        <v>0</v>
      </c>
      <c r="D64">
        <f t="shared" si="5"/>
        <v>0</v>
      </c>
      <c r="E64">
        <f t="shared" si="10"/>
        <v>0</v>
      </c>
    </row>
    <row r="65" spans="1:5" x14ac:dyDescent="0.25">
      <c r="A65">
        <f t="shared" si="9"/>
        <v>39000</v>
      </c>
      <c r="B65">
        <f t="shared" si="3"/>
        <v>47000</v>
      </c>
      <c r="C65">
        <f t="shared" si="4"/>
        <v>0</v>
      </c>
      <c r="D65">
        <f t="shared" si="5"/>
        <v>0</v>
      </c>
      <c r="E65">
        <f t="shared" si="10"/>
        <v>0</v>
      </c>
    </row>
    <row r="66" spans="1:5" x14ac:dyDescent="0.25">
      <c r="A66">
        <f t="shared" si="9"/>
        <v>47000</v>
      </c>
      <c r="B66">
        <f t="shared" si="3"/>
        <v>0</v>
      </c>
      <c r="C66">
        <f t="shared" si="4"/>
        <v>0</v>
      </c>
      <c r="D66">
        <f t="shared" si="5"/>
        <v>0</v>
      </c>
      <c r="E66">
        <f t="shared" si="10"/>
        <v>0</v>
      </c>
    </row>
    <row r="67" spans="1:5" x14ac:dyDescent="0.25">
      <c r="A67">
        <f t="shared" si="9"/>
        <v>56000</v>
      </c>
      <c r="B67">
        <f t="shared" si="3"/>
        <v>0</v>
      </c>
      <c r="C67">
        <f t="shared" si="4"/>
        <v>0</v>
      </c>
      <c r="D67">
        <f t="shared" si="5"/>
        <v>0</v>
      </c>
      <c r="E67">
        <f t="shared" si="10"/>
        <v>0</v>
      </c>
    </row>
    <row r="68" spans="1:5" x14ac:dyDescent="0.25">
      <c r="A68">
        <f t="shared" si="9"/>
        <v>68000</v>
      </c>
      <c r="B68">
        <f t="shared" si="3"/>
        <v>0</v>
      </c>
      <c r="C68">
        <f t="shared" si="4"/>
        <v>0</v>
      </c>
      <c r="D68">
        <f t="shared" si="5"/>
        <v>0</v>
      </c>
      <c r="E68">
        <f t="shared" si="10"/>
        <v>0</v>
      </c>
    </row>
    <row r="69" spans="1:5" x14ac:dyDescent="0.25">
      <c r="A69">
        <f t="shared" si="9"/>
        <v>82000</v>
      </c>
      <c r="B69">
        <f t="shared" si="3"/>
        <v>0</v>
      </c>
      <c r="C69">
        <f t="shared" si="4"/>
        <v>0</v>
      </c>
      <c r="D69">
        <f t="shared" si="5"/>
        <v>0</v>
      </c>
      <c r="E69">
        <f t="shared" si="10"/>
        <v>0</v>
      </c>
    </row>
    <row r="70" spans="1:5" x14ac:dyDescent="0.25">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5">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5">
      <c r="A72">
        <f t="shared" si="9"/>
        <v>150000</v>
      </c>
      <c r="B72">
        <f t="shared" si="13"/>
        <v>0</v>
      </c>
      <c r="C72">
        <f t="shared" si="14"/>
        <v>0</v>
      </c>
      <c r="D72">
        <f t="shared" si="15"/>
        <v>0</v>
      </c>
      <c r="E72">
        <f t="shared" si="12"/>
        <v>0</v>
      </c>
    </row>
    <row r="73" spans="1:5" x14ac:dyDescent="0.25">
      <c r="A73">
        <f t="shared" si="9"/>
        <v>180000</v>
      </c>
      <c r="B73">
        <f t="shared" si="13"/>
        <v>0</v>
      </c>
      <c r="C73">
        <f t="shared" si="14"/>
        <v>0</v>
      </c>
      <c r="D73">
        <f t="shared" si="15"/>
        <v>0</v>
      </c>
      <c r="E73">
        <f t="shared" si="12"/>
        <v>0</v>
      </c>
    </row>
    <row r="74" spans="1:5" x14ac:dyDescent="0.25">
      <c r="A74">
        <f t="shared" si="9"/>
        <v>220000</v>
      </c>
      <c r="B74">
        <f t="shared" si="13"/>
        <v>0</v>
      </c>
      <c r="C74">
        <f t="shared" si="14"/>
        <v>0</v>
      </c>
      <c r="D74">
        <f t="shared" si="15"/>
        <v>0</v>
      </c>
      <c r="E74">
        <f t="shared" si="12"/>
        <v>0</v>
      </c>
    </row>
    <row r="75" spans="1:5" x14ac:dyDescent="0.25">
      <c r="A75">
        <f t="shared" si="9"/>
        <v>270000</v>
      </c>
      <c r="B75">
        <f t="shared" si="13"/>
        <v>0</v>
      </c>
      <c r="C75">
        <f t="shared" si="14"/>
        <v>0</v>
      </c>
      <c r="D75">
        <f t="shared" si="15"/>
        <v>0</v>
      </c>
      <c r="E75">
        <f t="shared" si="12"/>
        <v>0</v>
      </c>
    </row>
    <row r="76" spans="1:5" x14ac:dyDescent="0.25">
      <c r="A76">
        <f t="shared" si="9"/>
        <v>330000</v>
      </c>
      <c r="B76">
        <f t="shared" si="13"/>
        <v>0</v>
      </c>
      <c r="C76">
        <f t="shared" si="14"/>
        <v>0</v>
      </c>
      <c r="D76">
        <f t="shared" si="15"/>
        <v>0</v>
      </c>
      <c r="E76">
        <f t="shared" si="12"/>
        <v>0</v>
      </c>
    </row>
    <row r="77" spans="1:5" x14ac:dyDescent="0.25">
      <c r="A77">
        <f t="shared" si="9"/>
        <v>390000</v>
      </c>
      <c r="B77">
        <f t="shared" si="13"/>
        <v>0</v>
      </c>
      <c r="C77">
        <f t="shared" si="14"/>
        <v>0</v>
      </c>
      <c r="D77">
        <f t="shared" si="15"/>
        <v>0</v>
      </c>
      <c r="E77">
        <f t="shared" si="12"/>
        <v>0</v>
      </c>
    </row>
    <row r="78" spans="1:5" x14ac:dyDescent="0.25">
      <c r="A78">
        <f t="shared" si="9"/>
        <v>470000</v>
      </c>
      <c r="B78">
        <f t="shared" si="13"/>
        <v>0</v>
      </c>
      <c r="C78">
        <f t="shared" si="14"/>
        <v>0</v>
      </c>
      <c r="D78">
        <f t="shared" si="15"/>
        <v>0</v>
      </c>
      <c r="E78">
        <f t="shared" si="12"/>
        <v>0</v>
      </c>
    </row>
    <row r="79" spans="1:5" x14ac:dyDescent="0.25">
      <c r="A79">
        <f t="shared" si="9"/>
        <v>560000</v>
      </c>
      <c r="B79">
        <f t="shared" si="13"/>
        <v>0</v>
      </c>
      <c r="C79">
        <f t="shared" si="14"/>
        <v>0</v>
      </c>
      <c r="D79">
        <f t="shared" si="15"/>
        <v>0</v>
      </c>
      <c r="E79">
        <f t="shared" si="12"/>
        <v>0</v>
      </c>
    </row>
    <row r="80" spans="1:5" x14ac:dyDescent="0.25">
      <c r="A80">
        <f t="shared" si="9"/>
        <v>680000</v>
      </c>
      <c r="B80">
        <f t="shared" si="13"/>
        <v>0</v>
      </c>
      <c r="C80">
        <f t="shared" si="14"/>
        <v>0</v>
      </c>
      <c r="D80">
        <f t="shared" si="15"/>
        <v>0</v>
      </c>
      <c r="E80">
        <f t="shared" si="12"/>
        <v>0</v>
      </c>
    </row>
    <row r="81" spans="1:5" x14ac:dyDescent="0.25">
      <c r="A81">
        <f t="shared" si="9"/>
        <v>820000</v>
      </c>
      <c r="B81">
        <f t="shared" si="13"/>
        <v>0</v>
      </c>
      <c r="C81">
        <f t="shared" si="14"/>
        <v>0</v>
      </c>
      <c r="D81">
        <f t="shared" si="15"/>
        <v>0</v>
      </c>
      <c r="E81">
        <f t="shared" si="12"/>
        <v>0</v>
      </c>
    </row>
    <row r="82" spans="1:5" x14ac:dyDescent="0.25">
      <c r="A82">
        <f t="shared" si="9"/>
        <v>1000000</v>
      </c>
      <c r="B82">
        <f t="shared" si="13"/>
        <v>0</v>
      </c>
      <c r="C82">
        <f t="shared" si="14"/>
        <v>0</v>
      </c>
      <c r="D82">
        <f t="shared" si="15"/>
        <v>0</v>
      </c>
      <c r="E82">
        <f t="shared" si="12"/>
        <v>0</v>
      </c>
    </row>
    <row r="83" spans="1:5" x14ac:dyDescent="0.25">
      <c r="A83">
        <f t="shared" si="9"/>
        <v>1200000</v>
      </c>
      <c r="B83">
        <f t="shared" si="13"/>
        <v>0</v>
      </c>
      <c r="C83">
        <f t="shared" si="14"/>
        <v>0</v>
      </c>
      <c r="D83">
        <f t="shared" si="15"/>
        <v>0</v>
      </c>
      <c r="E83">
        <f t="shared" si="12"/>
        <v>0</v>
      </c>
    </row>
    <row r="84" spans="1:5" x14ac:dyDescent="0.25">
      <c r="A84">
        <f t="shared" si="9"/>
        <v>1500000</v>
      </c>
      <c r="B84">
        <f t="shared" si="13"/>
        <v>0</v>
      </c>
      <c r="C84">
        <f t="shared" si="14"/>
        <v>0</v>
      </c>
      <c r="D84">
        <f t="shared" si="15"/>
        <v>0</v>
      </c>
      <c r="E84">
        <f t="shared" si="12"/>
        <v>0</v>
      </c>
    </row>
    <row r="85" spans="1:5" x14ac:dyDescent="0.25">
      <c r="A85">
        <f t="shared" si="9"/>
        <v>1800000</v>
      </c>
      <c r="B85">
        <f t="shared" si="13"/>
        <v>0</v>
      </c>
      <c r="C85">
        <f t="shared" si="14"/>
        <v>0</v>
      </c>
      <c r="D85">
        <f t="shared" si="15"/>
        <v>0</v>
      </c>
      <c r="E85">
        <f t="shared" si="12"/>
        <v>0</v>
      </c>
    </row>
    <row r="86" spans="1:5" x14ac:dyDescent="0.25">
      <c r="A86">
        <f t="shared" si="9"/>
        <v>2200000</v>
      </c>
      <c r="B86">
        <f t="shared" si="13"/>
        <v>0</v>
      </c>
      <c r="C86">
        <f t="shared" si="14"/>
        <v>0</v>
      </c>
      <c r="D86">
        <f t="shared" si="15"/>
        <v>0</v>
      </c>
      <c r="E86">
        <f t="shared" si="12"/>
        <v>0</v>
      </c>
    </row>
    <row r="87" spans="1:5" x14ac:dyDescent="0.25">
      <c r="A87">
        <f t="shared" si="9"/>
        <v>2700000</v>
      </c>
      <c r="B87">
        <f t="shared" si="13"/>
        <v>0</v>
      </c>
      <c r="C87">
        <f t="shared" si="14"/>
        <v>0</v>
      </c>
      <c r="D87">
        <f t="shared" si="15"/>
        <v>0</v>
      </c>
      <c r="E87">
        <f t="shared" si="12"/>
        <v>0</v>
      </c>
    </row>
    <row r="88" spans="1:5" x14ac:dyDescent="0.25">
      <c r="A88">
        <f t="shared" si="9"/>
        <v>3300000</v>
      </c>
      <c r="B88">
        <f t="shared" si="13"/>
        <v>0</v>
      </c>
      <c r="C88">
        <f t="shared" si="14"/>
        <v>0</v>
      </c>
      <c r="D88">
        <f t="shared" si="15"/>
        <v>0</v>
      </c>
      <c r="E88">
        <f t="shared" si="12"/>
        <v>0</v>
      </c>
    </row>
    <row r="89" spans="1:5" x14ac:dyDescent="0.25">
      <c r="A89">
        <f t="shared" si="9"/>
        <v>3900000</v>
      </c>
      <c r="B89">
        <f t="shared" si="13"/>
        <v>0</v>
      </c>
      <c r="C89">
        <f t="shared" si="14"/>
        <v>0</v>
      </c>
      <c r="D89">
        <f t="shared" si="15"/>
        <v>0</v>
      </c>
      <c r="E89">
        <f t="shared" si="12"/>
        <v>0</v>
      </c>
    </row>
    <row r="90" spans="1:5" x14ac:dyDescent="0.25">
      <c r="A90">
        <f t="shared" si="9"/>
        <v>4700000</v>
      </c>
      <c r="B90">
        <f t="shared" si="13"/>
        <v>0</v>
      </c>
      <c r="C90">
        <f t="shared" si="14"/>
        <v>0</v>
      </c>
      <c r="D90">
        <f t="shared" si="15"/>
        <v>0</v>
      </c>
      <c r="E90">
        <f t="shared" si="12"/>
        <v>0</v>
      </c>
    </row>
    <row r="91" spans="1:5" x14ac:dyDescent="0.25">
      <c r="A91">
        <f t="shared" si="9"/>
        <v>5600000</v>
      </c>
      <c r="B91">
        <f t="shared" si="13"/>
        <v>0</v>
      </c>
      <c r="C91">
        <f t="shared" si="14"/>
        <v>0</v>
      </c>
      <c r="D91">
        <f t="shared" si="15"/>
        <v>0</v>
      </c>
      <c r="E91">
        <f t="shared" si="12"/>
        <v>0</v>
      </c>
    </row>
    <row r="92" spans="1:5" x14ac:dyDescent="0.25">
      <c r="A92">
        <f t="shared" si="9"/>
        <v>6800000</v>
      </c>
      <c r="B92">
        <f t="shared" si="13"/>
        <v>0</v>
      </c>
      <c r="C92">
        <f t="shared" si="14"/>
        <v>0</v>
      </c>
      <c r="D92">
        <f t="shared" si="15"/>
        <v>0</v>
      </c>
      <c r="E92">
        <f t="shared" si="12"/>
        <v>0</v>
      </c>
    </row>
    <row r="93" spans="1:5" x14ac:dyDescent="0.25">
      <c r="A93">
        <f t="shared" si="9"/>
        <v>8200000</v>
      </c>
      <c r="B93">
        <f t="shared" si="13"/>
        <v>0</v>
      </c>
      <c r="C93">
        <f t="shared" si="14"/>
        <v>0</v>
      </c>
      <c r="D93">
        <f t="shared" si="15"/>
        <v>0</v>
      </c>
      <c r="E93">
        <f t="shared" si="12"/>
        <v>0</v>
      </c>
    </row>
    <row r="94" spans="1:5" x14ac:dyDescent="0.25">
      <c r="A94">
        <f t="shared" si="9"/>
        <v>10000000</v>
      </c>
      <c r="B94">
        <f t="shared" si="13"/>
        <v>0</v>
      </c>
      <c r="C94">
        <f t="shared" si="14"/>
        <v>0</v>
      </c>
      <c r="D94">
        <f t="shared" si="15"/>
        <v>0</v>
      </c>
      <c r="E94">
        <f t="shared" si="12"/>
        <v>0</v>
      </c>
    </row>
    <row r="95" spans="1:5" x14ac:dyDescent="0.25">
      <c r="A95">
        <f t="shared" si="9"/>
        <v>12000000</v>
      </c>
      <c r="B95">
        <f t="shared" si="13"/>
        <v>0</v>
      </c>
      <c r="C95">
        <f t="shared" si="14"/>
        <v>0</v>
      </c>
      <c r="D95">
        <f t="shared" si="15"/>
        <v>0</v>
      </c>
      <c r="E95">
        <f t="shared" si="12"/>
        <v>0</v>
      </c>
    </row>
    <row r="96" spans="1:5" x14ac:dyDescent="0.25">
      <c r="A96">
        <f t="shared" si="9"/>
        <v>15000000</v>
      </c>
      <c r="B96">
        <f t="shared" si="13"/>
        <v>0</v>
      </c>
      <c r="C96">
        <f t="shared" si="14"/>
        <v>0</v>
      </c>
      <c r="D96">
        <f t="shared" si="15"/>
        <v>0</v>
      </c>
      <c r="E96">
        <f t="shared" si="12"/>
        <v>0</v>
      </c>
    </row>
    <row r="97" spans="1:5" x14ac:dyDescent="0.25">
      <c r="A97">
        <f t="shared" si="9"/>
        <v>18000000</v>
      </c>
      <c r="B97">
        <f t="shared" si="13"/>
        <v>0</v>
      </c>
      <c r="C97">
        <f t="shared" si="14"/>
        <v>0</v>
      </c>
      <c r="D97">
        <f t="shared" si="15"/>
        <v>0</v>
      </c>
      <c r="E97">
        <f t="shared" si="12"/>
        <v>0</v>
      </c>
    </row>
    <row r="98" spans="1:5" x14ac:dyDescent="0.25">
      <c r="A98">
        <f t="shared" si="9"/>
        <v>22000000</v>
      </c>
      <c r="B98">
        <f t="shared" si="13"/>
        <v>0</v>
      </c>
      <c r="C98">
        <f t="shared" si="14"/>
        <v>0</v>
      </c>
      <c r="D98">
        <f t="shared" si="15"/>
        <v>0</v>
      </c>
      <c r="E98">
        <f t="shared" si="12"/>
        <v>0</v>
      </c>
    </row>
    <row r="99" spans="1:5" x14ac:dyDescent="0.25">
      <c r="A99">
        <f t="shared" ref="A99:A159" si="16">A87*10</f>
        <v>27000000</v>
      </c>
      <c r="B99">
        <f t="shared" si="13"/>
        <v>0</v>
      </c>
      <c r="C99">
        <f t="shared" si="14"/>
        <v>0</v>
      </c>
      <c r="D99">
        <f t="shared" si="15"/>
        <v>0</v>
      </c>
      <c r="E99">
        <f t="shared" si="12"/>
        <v>0</v>
      </c>
    </row>
    <row r="100" spans="1:5" x14ac:dyDescent="0.25">
      <c r="A100">
        <f t="shared" si="16"/>
        <v>33000000</v>
      </c>
      <c r="B100">
        <f t="shared" si="13"/>
        <v>0</v>
      </c>
      <c r="C100">
        <f t="shared" si="14"/>
        <v>0</v>
      </c>
      <c r="D100">
        <f t="shared" si="15"/>
        <v>0</v>
      </c>
      <c r="E100">
        <f t="shared" si="12"/>
        <v>0</v>
      </c>
    </row>
    <row r="101" spans="1:5" x14ac:dyDescent="0.25">
      <c r="A101">
        <f t="shared" si="16"/>
        <v>39000000</v>
      </c>
      <c r="B101">
        <f t="shared" si="13"/>
        <v>0</v>
      </c>
      <c r="C101">
        <f t="shared" si="14"/>
        <v>0</v>
      </c>
      <c r="D101">
        <f t="shared" si="15"/>
        <v>0</v>
      </c>
      <c r="E101">
        <f t="shared" si="12"/>
        <v>0</v>
      </c>
    </row>
    <row r="102" spans="1:5" x14ac:dyDescent="0.25">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5">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5">
      <c r="A104">
        <f t="shared" si="16"/>
        <v>68000000</v>
      </c>
      <c r="B104">
        <f t="shared" si="13"/>
        <v>0</v>
      </c>
      <c r="C104">
        <f t="shared" si="14"/>
        <v>0</v>
      </c>
      <c r="D104">
        <f t="shared" si="18"/>
        <v>0</v>
      </c>
      <c r="E104">
        <f t="shared" si="17"/>
        <v>0</v>
      </c>
    </row>
    <row r="105" spans="1:5" x14ac:dyDescent="0.25">
      <c r="A105">
        <f t="shared" si="16"/>
        <v>82000000</v>
      </c>
      <c r="B105">
        <f t="shared" si="13"/>
        <v>0</v>
      </c>
      <c r="C105">
        <f t="shared" si="14"/>
        <v>0</v>
      </c>
      <c r="D105">
        <f t="shared" si="18"/>
        <v>0</v>
      </c>
      <c r="E105">
        <f t="shared" si="17"/>
        <v>0</v>
      </c>
    </row>
    <row r="106" spans="1:5" x14ac:dyDescent="0.25">
      <c r="A106">
        <f t="shared" si="16"/>
        <v>100000000</v>
      </c>
      <c r="B106">
        <f t="shared" si="13"/>
        <v>0</v>
      </c>
      <c r="C106">
        <f t="shared" si="14"/>
        <v>0</v>
      </c>
      <c r="D106">
        <f t="shared" si="18"/>
        <v>0</v>
      </c>
      <c r="E106">
        <f t="shared" si="17"/>
        <v>0</v>
      </c>
    </row>
    <row r="107" spans="1:5" x14ac:dyDescent="0.25">
      <c r="A107">
        <f t="shared" si="16"/>
        <v>120000000</v>
      </c>
      <c r="B107">
        <f t="shared" si="13"/>
        <v>0</v>
      </c>
      <c r="C107">
        <f t="shared" si="14"/>
        <v>0</v>
      </c>
      <c r="D107">
        <f t="shared" si="18"/>
        <v>0</v>
      </c>
      <c r="E107">
        <f t="shared" si="17"/>
        <v>0</v>
      </c>
    </row>
    <row r="108" spans="1:5" x14ac:dyDescent="0.25">
      <c r="A108">
        <f t="shared" si="16"/>
        <v>150000000</v>
      </c>
      <c r="B108">
        <f t="shared" si="13"/>
        <v>0</v>
      </c>
      <c r="C108">
        <f t="shared" si="14"/>
        <v>0</v>
      </c>
      <c r="D108">
        <f t="shared" si="18"/>
        <v>0</v>
      </c>
      <c r="E108">
        <f t="shared" si="17"/>
        <v>0</v>
      </c>
    </row>
    <row r="109" spans="1:5" x14ac:dyDescent="0.25">
      <c r="A109">
        <f t="shared" si="16"/>
        <v>180000000</v>
      </c>
      <c r="B109">
        <f t="shared" si="13"/>
        <v>0</v>
      </c>
      <c r="C109">
        <f t="shared" si="14"/>
        <v>0</v>
      </c>
      <c r="D109">
        <f t="shared" si="18"/>
        <v>0</v>
      </c>
      <c r="E109">
        <f t="shared" si="17"/>
        <v>0</v>
      </c>
    </row>
    <row r="110" spans="1:5" x14ac:dyDescent="0.25">
      <c r="A110">
        <f t="shared" si="16"/>
        <v>220000000</v>
      </c>
      <c r="B110">
        <f t="shared" si="13"/>
        <v>0</v>
      </c>
      <c r="C110">
        <f t="shared" si="14"/>
        <v>0</v>
      </c>
      <c r="D110">
        <f t="shared" si="18"/>
        <v>0</v>
      </c>
      <c r="E110">
        <f t="shared" si="17"/>
        <v>0</v>
      </c>
    </row>
    <row r="111" spans="1:5" x14ac:dyDescent="0.25">
      <c r="A111">
        <f t="shared" si="16"/>
        <v>270000000</v>
      </c>
      <c r="B111">
        <f t="shared" si="13"/>
        <v>0</v>
      </c>
      <c r="C111">
        <f t="shared" si="14"/>
        <v>0</v>
      </c>
      <c r="D111">
        <f t="shared" si="18"/>
        <v>0</v>
      </c>
      <c r="E111">
        <f t="shared" si="17"/>
        <v>0</v>
      </c>
    </row>
    <row r="112" spans="1:5" x14ac:dyDescent="0.25">
      <c r="A112">
        <f t="shared" si="16"/>
        <v>330000000</v>
      </c>
      <c r="B112">
        <f t="shared" si="13"/>
        <v>0</v>
      </c>
      <c r="C112">
        <f t="shared" si="14"/>
        <v>0</v>
      </c>
      <c r="D112">
        <f t="shared" si="18"/>
        <v>0</v>
      </c>
      <c r="E112">
        <f t="shared" si="17"/>
        <v>0</v>
      </c>
    </row>
    <row r="113" spans="1:5" x14ac:dyDescent="0.25">
      <c r="A113">
        <f t="shared" si="16"/>
        <v>390000000</v>
      </c>
      <c r="B113">
        <f t="shared" si="13"/>
        <v>0</v>
      </c>
      <c r="C113">
        <f t="shared" si="14"/>
        <v>0</v>
      </c>
      <c r="D113">
        <f t="shared" si="18"/>
        <v>0</v>
      </c>
      <c r="E113">
        <f t="shared" si="17"/>
        <v>0</v>
      </c>
    </row>
    <row r="114" spans="1:5" x14ac:dyDescent="0.25">
      <c r="A114">
        <f t="shared" si="16"/>
        <v>470000000</v>
      </c>
      <c r="B114">
        <f t="shared" si="13"/>
        <v>0</v>
      </c>
      <c r="C114">
        <f t="shared" si="14"/>
        <v>0</v>
      </c>
      <c r="D114">
        <f t="shared" si="18"/>
        <v>0</v>
      </c>
      <c r="E114">
        <f t="shared" si="17"/>
        <v>0</v>
      </c>
    </row>
    <row r="115" spans="1:5" x14ac:dyDescent="0.25">
      <c r="A115">
        <f t="shared" si="16"/>
        <v>560000000</v>
      </c>
      <c r="B115">
        <f t="shared" si="13"/>
        <v>0</v>
      </c>
      <c r="C115">
        <f t="shared" si="14"/>
        <v>0</v>
      </c>
      <c r="D115">
        <f t="shared" si="18"/>
        <v>0</v>
      </c>
      <c r="E115">
        <f t="shared" si="17"/>
        <v>0</v>
      </c>
    </row>
    <row r="116" spans="1:5" x14ac:dyDescent="0.25">
      <c r="A116">
        <f t="shared" si="16"/>
        <v>680000000</v>
      </c>
      <c r="B116">
        <f t="shared" si="13"/>
        <v>0</v>
      </c>
      <c r="C116">
        <f t="shared" si="14"/>
        <v>0</v>
      </c>
      <c r="D116">
        <f t="shared" si="18"/>
        <v>0</v>
      </c>
      <c r="E116">
        <f t="shared" si="17"/>
        <v>0</v>
      </c>
    </row>
    <row r="117" spans="1:5" x14ac:dyDescent="0.25">
      <c r="A117">
        <f t="shared" si="16"/>
        <v>820000000</v>
      </c>
      <c r="B117">
        <f t="shared" si="13"/>
        <v>0</v>
      </c>
      <c r="C117">
        <f t="shared" si="14"/>
        <v>0</v>
      </c>
      <c r="D117">
        <f t="shared" si="18"/>
        <v>0</v>
      </c>
      <c r="E117">
        <f t="shared" si="17"/>
        <v>0</v>
      </c>
    </row>
    <row r="118" spans="1:5" x14ac:dyDescent="0.25">
      <c r="A118">
        <f t="shared" si="16"/>
        <v>1000000000</v>
      </c>
      <c r="B118">
        <f t="shared" si="13"/>
        <v>0</v>
      </c>
      <c r="C118">
        <f t="shared" si="14"/>
        <v>0</v>
      </c>
      <c r="D118">
        <f t="shared" si="18"/>
        <v>0</v>
      </c>
      <c r="E118">
        <f t="shared" si="17"/>
        <v>0</v>
      </c>
    </row>
    <row r="119" spans="1:5" x14ac:dyDescent="0.25">
      <c r="A119">
        <f t="shared" si="16"/>
        <v>1200000000</v>
      </c>
      <c r="B119">
        <f t="shared" si="13"/>
        <v>0</v>
      </c>
      <c r="C119">
        <f t="shared" si="14"/>
        <v>0</v>
      </c>
      <c r="D119">
        <f t="shared" si="18"/>
        <v>0</v>
      </c>
      <c r="E119">
        <f t="shared" si="17"/>
        <v>0</v>
      </c>
    </row>
    <row r="120" spans="1:5" x14ac:dyDescent="0.25">
      <c r="A120">
        <f t="shared" si="16"/>
        <v>1500000000</v>
      </c>
      <c r="B120">
        <f t="shared" si="13"/>
        <v>0</v>
      </c>
      <c r="C120">
        <f t="shared" si="14"/>
        <v>0</v>
      </c>
      <c r="D120">
        <f t="shared" si="18"/>
        <v>0</v>
      </c>
      <c r="E120">
        <f t="shared" si="17"/>
        <v>0</v>
      </c>
    </row>
    <row r="121" spans="1:5" x14ac:dyDescent="0.25">
      <c r="A121">
        <f t="shared" si="16"/>
        <v>1800000000</v>
      </c>
      <c r="B121">
        <f t="shared" si="13"/>
        <v>0</v>
      </c>
      <c r="C121">
        <f t="shared" si="14"/>
        <v>0</v>
      </c>
      <c r="D121">
        <f t="shared" si="18"/>
        <v>0</v>
      </c>
      <c r="E121">
        <f t="shared" si="17"/>
        <v>0</v>
      </c>
    </row>
    <row r="122" spans="1:5" x14ac:dyDescent="0.25">
      <c r="A122">
        <f t="shared" si="16"/>
        <v>2200000000</v>
      </c>
      <c r="B122">
        <f t="shared" si="13"/>
        <v>0</v>
      </c>
      <c r="C122">
        <f t="shared" si="14"/>
        <v>0</v>
      </c>
      <c r="D122">
        <f t="shared" si="18"/>
        <v>0</v>
      </c>
      <c r="E122">
        <f t="shared" si="17"/>
        <v>0</v>
      </c>
    </row>
    <row r="123" spans="1:5" x14ac:dyDescent="0.25">
      <c r="A123">
        <f t="shared" si="16"/>
        <v>2700000000</v>
      </c>
      <c r="B123">
        <f t="shared" si="13"/>
        <v>0</v>
      </c>
      <c r="C123">
        <f t="shared" si="14"/>
        <v>0</v>
      </c>
      <c r="D123">
        <f t="shared" si="18"/>
        <v>0</v>
      </c>
      <c r="E123">
        <f t="shared" si="17"/>
        <v>0</v>
      </c>
    </row>
    <row r="124" spans="1:5" x14ac:dyDescent="0.25">
      <c r="A124">
        <f t="shared" si="16"/>
        <v>3300000000</v>
      </c>
      <c r="B124">
        <f t="shared" si="13"/>
        <v>0</v>
      </c>
      <c r="C124">
        <f t="shared" si="14"/>
        <v>0</v>
      </c>
      <c r="D124">
        <f t="shared" si="18"/>
        <v>0</v>
      </c>
      <c r="E124">
        <f t="shared" si="17"/>
        <v>0</v>
      </c>
    </row>
    <row r="125" spans="1:5" x14ac:dyDescent="0.25">
      <c r="A125">
        <f t="shared" si="16"/>
        <v>3900000000</v>
      </c>
      <c r="B125">
        <f t="shared" si="13"/>
        <v>0</v>
      </c>
      <c r="C125">
        <f t="shared" si="14"/>
        <v>0</v>
      </c>
      <c r="D125">
        <f t="shared" si="18"/>
        <v>0</v>
      </c>
      <c r="E125">
        <f t="shared" si="17"/>
        <v>0</v>
      </c>
    </row>
    <row r="126" spans="1:5" x14ac:dyDescent="0.25">
      <c r="A126">
        <f t="shared" si="16"/>
        <v>4700000000</v>
      </c>
      <c r="B126">
        <f t="shared" si="13"/>
        <v>0</v>
      </c>
      <c r="C126">
        <f t="shared" si="14"/>
        <v>0</v>
      </c>
      <c r="D126">
        <f t="shared" si="18"/>
        <v>0</v>
      </c>
      <c r="E126">
        <f t="shared" si="17"/>
        <v>0</v>
      </c>
    </row>
    <row r="127" spans="1:5" x14ac:dyDescent="0.25">
      <c r="A127">
        <f t="shared" si="16"/>
        <v>5600000000</v>
      </c>
      <c r="B127">
        <f t="shared" si="13"/>
        <v>0</v>
      </c>
      <c r="C127">
        <f t="shared" si="14"/>
        <v>0</v>
      </c>
      <c r="D127">
        <f t="shared" si="18"/>
        <v>0</v>
      </c>
      <c r="E127">
        <f t="shared" si="17"/>
        <v>0</v>
      </c>
    </row>
    <row r="128" spans="1:5" x14ac:dyDescent="0.25">
      <c r="A128">
        <f t="shared" si="16"/>
        <v>6800000000</v>
      </c>
      <c r="B128">
        <f t="shared" si="13"/>
        <v>0</v>
      </c>
      <c r="C128">
        <f t="shared" si="14"/>
        <v>0</v>
      </c>
      <c r="D128">
        <f t="shared" si="18"/>
        <v>0</v>
      </c>
      <c r="E128">
        <f t="shared" si="17"/>
        <v>0</v>
      </c>
    </row>
    <row r="129" spans="1:5" x14ac:dyDescent="0.25">
      <c r="A129">
        <f t="shared" si="16"/>
        <v>8200000000</v>
      </c>
      <c r="B129">
        <f t="shared" si="13"/>
        <v>0</v>
      </c>
      <c r="C129">
        <f t="shared" si="14"/>
        <v>0</v>
      </c>
      <c r="D129">
        <f t="shared" si="18"/>
        <v>0</v>
      </c>
      <c r="E129">
        <f t="shared" si="17"/>
        <v>0</v>
      </c>
    </row>
    <row r="130" spans="1:5" x14ac:dyDescent="0.25">
      <c r="A130">
        <f t="shared" si="16"/>
        <v>10000000000</v>
      </c>
      <c r="B130">
        <f t="shared" si="13"/>
        <v>0</v>
      </c>
      <c r="C130">
        <f t="shared" si="14"/>
        <v>0</v>
      </c>
      <c r="D130">
        <f t="shared" si="18"/>
        <v>0</v>
      </c>
      <c r="E130">
        <f t="shared" si="17"/>
        <v>0</v>
      </c>
    </row>
    <row r="131" spans="1:5" x14ac:dyDescent="0.25">
      <c r="A131">
        <f t="shared" si="16"/>
        <v>12000000000</v>
      </c>
      <c r="B131">
        <f t="shared" si="13"/>
        <v>0</v>
      </c>
      <c r="C131">
        <f t="shared" si="14"/>
        <v>0</v>
      </c>
      <c r="D131">
        <f t="shared" si="18"/>
        <v>0</v>
      </c>
      <c r="E131">
        <f t="shared" si="17"/>
        <v>0</v>
      </c>
    </row>
    <row r="132" spans="1:5" x14ac:dyDescent="0.25">
      <c r="A132">
        <f t="shared" si="16"/>
        <v>15000000000</v>
      </c>
      <c r="B132">
        <f t="shared" si="13"/>
        <v>0</v>
      </c>
      <c r="C132">
        <f t="shared" si="14"/>
        <v>0</v>
      </c>
      <c r="D132">
        <f t="shared" si="18"/>
        <v>0</v>
      </c>
      <c r="E132">
        <f t="shared" si="17"/>
        <v>0</v>
      </c>
    </row>
    <row r="133" spans="1:5" x14ac:dyDescent="0.25">
      <c r="A133">
        <f t="shared" si="16"/>
        <v>18000000000</v>
      </c>
      <c r="B133">
        <f t="shared" si="13"/>
        <v>0</v>
      </c>
      <c r="C133">
        <f t="shared" si="14"/>
        <v>0</v>
      </c>
      <c r="D133">
        <f t="shared" si="18"/>
        <v>0</v>
      </c>
      <c r="E133">
        <f t="shared" si="17"/>
        <v>0</v>
      </c>
    </row>
    <row r="134" spans="1:5" x14ac:dyDescent="0.25">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5">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5">
      <c r="A136">
        <f t="shared" si="16"/>
        <v>33000000000</v>
      </c>
      <c r="B136">
        <f t="shared" si="21"/>
        <v>0</v>
      </c>
      <c r="C136">
        <f t="shared" si="19"/>
        <v>0</v>
      </c>
      <c r="D136">
        <f t="shared" si="19"/>
        <v>0</v>
      </c>
      <c r="E136">
        <f t="shared" si="20"/>
        <v>0</v>
      </c>
    </row>
    <row r="137" spans="1:5" x14ac:dyDescent="0.25">
      <c r="A137">
        <f t="shared" si="16"/>
        <v>39000000000</v>
      </c>
      <c r="B137">
        <f t="shared" si="21"/>
        <v>0</v>
      </c>
      <c r="C137">
        <f t="shared" si="19"/>
        <v>0</v>
      </c>
      <c r="D137">
        <f t="shared" si="19"/>
        <v>0</v>
      </c>
      <c r="E137">
        <f t="shared" si="20"/>
        <v>0</v>
      </c>
    </row>
    <row r="138" spans="1:5" x14ac:dyDescent="0.25">
      <c r="A138">
        <f t="shared" si="16"/>
        <v>47000000000</v>
      </c>
      <c r="B138">
        <f t="shared" si="21"/>
        <v>0</v>
      </c>
      <c r="C138">
        <f t="shared" si="19"/>
        <v>0</v>
      </c>
      <c r="D138">
        <f t="shared" si="19"/>
        <v>0</v>
      </c>
      <c r="E138">
        <f t="shared" si="20"/>
        <v>0</v>
      </c>
    </row>
    <row r="139" spans="1:5" x14ac:dyDescent="0.25">
      <c r="A139">
        <f t="shared" si="16"/>
        <v>56000000000</v>
      </c>
      <c r="B139">
        <f t="shared" si="21"/>
        <v>0</v>
      </c>
      <c r="C139">
        <f t="shared" si="19"/>
        <v>0</v>
      </c>
      <c r="D139">
        <f t="shared" si="19"/>
        <v>0</v>
      </c>
      <c r="E139">
        <f t="shared" si="20"/>
        <v>0</v>
      </c>
    </row>
    <row r="140" spans="1:5" x14ac:dyDescent="0.25">
      <c r="A140">
        <f t="shared" si="16"/>
        <v>68000000000</v>
      </c>
      <c r="B140">
        <f t="shared" si="21"/>
        <v>0</v>
      </c>
      <c r="C140">
        <f t="shared" si="19"/>
        <v>0</v>
      </c>
      <c r="D140">
        <f t="shared" si="19"/>
        <v>0</v>
      </c>
      <c r="E140">
        <f t="shared" si="20"/>
        <v>0</v>
      </c>
    </row>
    <row r="141" spans="1:5" x14ac:dyDescent="0.25">
      <c r="A141">
        <f t="shared" si="16"/>
        <v>82000000000</v>
      </c>
      <c r="B141">
        <f t="shared" si="21"/>
        <v>0</v>
      </c>
      <c r="C141">
        <f t="shared" si="19"/>
        <v>0</v>
      </c>
      <c r="D141">
        <f t="shared" si="19"/>
        <v>0</v>
      </c>
      <c r="E141">
        <f t="shared" si="20"/>
        <v>0</v>
      </c>
    </row>
    <row r="142" spans="1:5" x14ac:dyDescent="0.25">
      <c r="A142">
        <f t="shared" si="16"/>
        <v>100000000000</v>
      </c>
      <c r="B142">
        <f t="shared" si="21"/>
        <v>0</v>
      </c>
      <c r="C142">
        <f t="shared" si="19"/>
        <v>0</v>
      </c>
      <c r="D142">
        <f t="shared" si="19"/>
        <v>0</v>
      </c>
      <c r="E142">
        <f t="shared" si="20"/>
        <v>0</v>
      </c>
    </row>
    <row r="143" spans="1:5" x14ac:dyDescent="0.25">
      <c r="A143">
        <f t="shared" si="16"/>
        <v>120000000000</v>
      </c>
      <c r="B143">
        <f t="shared" si="21"/>
        <v>0</v>
      </c>
      <c r="C143">
        <f t="shared" si="19"/>
        <v>0</v>
      </c>
      <c r="D143">
        <f t="shared" si="19"/>
        <v>0</v>
      </c>
      <c r="E143">
        <f t="shared" si="20"/>
        <v>0</v>
      </c>
    </row>
    <row r="144" spans="1:5" x14ac:dyDescent="0.25">
      <c r="A144">
        <f t="shared" si="16"/>
        <v>150000000000</v>
      </c>
      <c r="B144">
        <f t="shared" si="21"/>
        <v>0</v>
      </c>
      <c r="C144">
        <f t="shared" si="19"/>
        <v>0</v>
      </c>
      <c r="D144">
        <f t="shared" si="19"/>
        <v>0</v>
      </c>
      <c r="E144">
        <f t="shared" si="20"/>
        <v>0</v>
      </c>
    </row>
    <row r="145" spans="1:5" x14ac:dyDescent="0.25">
      <c r="A145">
        <f t="shared" si="16"/>
        <v>180000000000</v>
      </c>
      <c r="B145">
        <f t="shared" si="21"/>
        <v>0</v>
      </c>
      <c r="C145">
        <f t="shared" si="19"/>
        <v>0</v>
      </c>
      <c r="D145">
        <f t="shared" si="19"/>
        <v>0</v>
      </c>
      <c r="E145">
        <f t="shared" si="20"/>
        <v>0</v>
      </c>
    </row>
    <row r="146" spans="1:5" x14ac:dyDescent="0.25">
      <c r="A146">
        <f t="shared" si="16"/>
        <v>220000000000</v>
      </c>
      <c r="B146">
        <f t="shared" si="21"/>
        <v>0</v>
      </c>
      <c r="C146">
        <f t="shared" si="19"/>
        <v>0</v>
      </c>
      <c r="D146">
        <f t="shared" si="19"/>
        <v>0</v>
      </c>
      <c r="E146">
        <f t="shared" si="20"/>
        <v>0</v>
      </c>
    </row>
    <row r="147" spans="1:5" x14ac:dyDescent="0.25">
      <c r="A147">
        <f t="shared" si="16"/>
        <v>270000000000</v>
      </c>
      <c r="B147">
        <f t="shared" si="21"/>
        <v>0</v>
      </c>
      <c r="C147">
        <f t="shared" si="19"/>
        <v>0</v>
      </c>
      <c r="D147">
        <f t="shared" si="19"/>
        <v>0</v>
      </c>
      <c r="E147">
        <f t="shared" si="20"/>
        <v>0</v>
      </c>
    </row>
    <row r="148" spans="1:5" x14ac:dyDescent="0.25">
      <c r="A148">
        <f t="shared" si="16"/>
        <v>330000000000</v>
      </c>
      <c r="B148">
        <f t="shared" si="21"/>
        <v>0</v>
      </c>
      <c r="C148">
        <f t="shared" si="19"/>
        <v>0</v>
      </c>
      <c r="D148">
        <f t="shared" si="19"/>
        <v>0</v>
      </c>
      <c r="E148">
        <f t="shared" si="20"/>
        <v>0</v>
      </c>
    </row>
    <row r="149" spans="1:5" x14ac:dyDescent="0.25">
      <c r="A149">
        <f t="shared" si="16"/>
        <v>390000000000</v>
      </c>
      <c r="B149">
        <f t="shared" si="21"/>
        <v>0</v>
      </c>
      <c r="C149">
        <f t="shared" si="19"/>
        <v>0</v>
      </c>
      <c r="D149">
        <f t="shared" si="19"/>
        <v>0</v>
      </c>
      <c r="E149">
        <f t="shared" si="20"/>
        <v>0</v>
      </c>
    </row>
    <row r="150" spans="1:5" x14ac:dyDescent="0.25">
      <c r="A150">
        <f t="shared" si="16"/>
        <v>470000000000</v>
      </c>
      <c r="B150">
        <f t="shared" si="21"/>
        <v>0</v>
      </c>
      <c r="C150">
        <f t="shared" si="19"/>
        <v>0</v>
      </c>
      <c r="D150">
        <f t="shared" si="19"/>
        <v>0</v>
      </c>
      <c r="E150">
        <f t="shared" si="20"/>
        <v>0</v>
      </c>
    </row>
    <row r="151" spans="1:5" x14ac:dyDescent="0.25">
      <c r="A151">
        <f t="shared" si="16"/>
        <v>560000000000</v>
      </c>
      <c r="B151">
        <f t="shared" si="21"/>
        <v>0</v>
      </c>
      <c r="C151">
        <f t="shared" si="19"/>
        <v>0</v>
      </c>
      <c r="D151">
        <f t="shared" si="19"/>
        <v>0</v>
      </c>
      <c r="E151">
        <f t="shared" si="20"/>
        <v>0</v>
      </c>
    </row>
    <row r="152" spans="1:5" x14ac:dyDescent="0.25">
      <c r="A152">
        <f t="shared" si="16"/>
        <v>680000000000</v>
      </c>
      <c r="B152">
        <f t="shared" si="21"/>
        <v>0</v>
      </c>
      <c r="C152">
        <f t="shared" si="19"/>
        <v>0</v>
      </c>
      <c r="D152">
        <f t="shared" si="19"/>
        <v>0</v>
      </c>
      <c r="E152">
        <f t="shared" si="20"/>
        <v>0</v>
      </c>
    </row>
    <row r="153" spans="1:5" x14ac:dyDescent="0.25">
      <c r="A153">
        <f t="shared" si="16"/>
        <v>820000000000</v>
      </c>
      <c r="B153">
        <f t="shared" si="21"/>
        <v>0</v>
      </c>
      <c r="C153">
        <f t="shared" si="19"/>
        <v>0</v>
      </c>
      <c r="D153">
        <f t="shared" si="19"/>
        <v>0</v>
      </c>
      <c r="E153">
        <f t="shared" si="20"/>
        <v>0</v>
      </c>
    </row>
    <row r="154" spans="1:5" x14ac:dyDescent="0.25">
      <c r="A154">
        <f t="shared" si="16"/>
        <v>1000000000000</v>
      </c>
      <c r="B154">
        <f t="shared" si="21"/>
        <v>0</v>
      </c>
      <c r="C154">
        <f t="shared" si="19"/>
        <v>0</v>
      </c>
      <c r="D154">
        <f t="shared" si="19"/>
        <v>0</v>
      </c>
      <c r="E154">
        <f t="shared" si="20"/>
        <v>0</v>
      </c>
    </row>
    <row r="155" spans="1:5" x14ac:dyDescent="0.25">
      <c r="A155">
        <f t="shared" si="16"/>
        <v>1200000000000</v>
      </c>
      <c r="B155">
        <f t="shared" si="21"/>
        <v>0</v>
      </c>
      <c r="C155">
        <f t="shared" si="19"/>
        <v>0</v>
      </c>
      <c r="D155">
        <f t="shared" si="19"/>
        <v>0</v>
      </c>
      <c r="E155">
        <f t="shared" si="20"/>
        <v>0</v>
      </c>
    </row>
    <row r="156" spans="1:5" x14ac:dyDescent="0.25">
      <c r="A156">
        <f t="shared" si="16"/>
        <v>1500000000000</v>
      </c>
      <c r="B156">
        <f t="shared" si="21"/>
        <v>0</v>
      </c>
      <c r="C156">
        <f t="shared" si="19"/>
        <v>0</v>
      </c>
      <c r="D156">
        <f t="shared" si="19"/>
        <v>0</v>
      </c>
      <c r="E156">
        <f t="shared" si="20"/>
        <v>0</v>
      </c>
    </row>
    <row r="157" spans="1:5" x14ac:dyDescent="0.25">
      <c r="A157">
        <f t="shared" si="16"/>
        <v>1800000000000</v>
      </c>
      <c r="B157">
        <f t="shared" si="21"/>
        <v>0</v>
      </c>
      <c r="C157">
        <f t="shared" si="19"/>
        <v>0</v>
      </c>
      <c r="D157">
        <f t="shared" si="19"/>
        <v>0</v>
      </c>
      <c r="E157">
        <f t="shared" si="20"/>
        <v>0</v>
      </c>
    </row>
    <row r="158" spans="1:5" x14ac:dyDescent="0.25">
      <c r="A158">
        <f t="shared" si="16"/>
        <v>2200000000000</v>
      </c>
      <c r="B158">
        <f t="shared" si="21"/>
        <v>0</v>
      </c>
      <c r="C158">
        <f t="shared" si="19"/>
        <v>0</v>
      </c>
      <c r="D158">
        <f t="shared" si="19"/>
        <v>0</v>
      </c>
      <c r="E158">
        <f t="shared" si="20"/>
        <v>0</v>
      </c>
    </row>
    <row r="159" spans="1:5" x14ac:dyDescent="0.25">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5" x14ac:dyDescent="0.25"/>
  <cols>
    <col min="1" max="1" width="9.54296875" style="115" customWidth="1"/>
    <col min="2" max="2" width="11.453125" style="115" customWidth="1"/>
    <col min="3" max="3" width="13.453125" style="115" customWidth="1"/>
    <col min="4" max="4" width="20.1796875" style="115" customWidth="1"/>
    <col min="5" max="5" width="17.26953125" style="115" customWidth="1"/>
    <col min="6" max="6" width="13.54296875" style="115" customWidth="1"/>
    <col min="7" max="7" width="16.1796875" style="115" customWidth="1"/>
    <col min="8" max="8" width="18.1796875" style="115" customWidth="1"/>
    <col min="9" max="9" width="10.81640625" style="115" customWidth="1"/>
    <col min="10" max="10" width="15.81640625" style="115" customWidth="1"/>
    <col min="11" max="11" width="11.81640625" style="471" customWidth="1"/>
    <col min="12" max="12" width="7.81640625" style="470" customWidth="1"/>
    <col min="13" max="13" width="11.7265625" style="115" customWidth="1"/>
    <col min="14" max="254" width="9.1796875" style="115"/>
    <col min="255" max="255" width="8.7265625" style="115" bestFit="1" customWidth="1"/>
    <col min="256" max="256" width="13.26953125" style="115" customWidth="1"/>
    <col min="257" max="257" width="16.1796875" style="115" bestFit="1" customWidth="1"/>
    <col min="258" max="258" width="23.54296875" style="115" customWidth="1"/>
    <col min="259" max="259" width="17.26953125" style="115" customWidth="1"/>
    <col min="260" max="260" width="20.54296875" style="115" bestFit="1" customWidth="1"/>
    <col min="261" max="261" width="17.1796875" style="115" customWidth="1"/>
    <col min="262" max="262" width="21.81640625" style="115" bestFit="1" customWidth="1"/>
    <col min="263" max="263" width="17.1796875" style="115" bestFit="1" customWidth="1"/>
    <col min="264" max="264" width="18.1796875" style="115" bestFit="1" customWidth="1"/>
    <col min="265" max="265" width="26.453125" style="115" customWidth="1"/>
    <col min="266" max="510" width="9.1796875" style="115"/>
    <col min="511" max="511" width="8.7265625" style="115" bestFit="1" customWidth="1"/>
    <col min="512" max="512" width="13.26953125" style="115" customWidth="1"/>
    <col min="513" max="513" width="16.1796875" style="115" bestFit="1" customWidth="1"/>
    <col min="514" max="514" width="23.54296875" style="115" customWidth="1"/>
    <col min="515" max="515" width="17.26953125" style="115" customWidth="1"/>
    <col min="516" max="516" width="20.54296875" style="115" bestFit="1" customWidth="1"/>
    <col min="517" max="517" width="17.1796875" style="115" customWidth="1"/>
    <col min="518" max="518" width="21.81640625" style="115" bestFit="1" customWidth="1"/>
    <col min="519" max="519" width="17.1796875" style="115" bestFit="1" customWidth="1"/>
    <col min="520" max="520" width="18.1796875" style="115" bestFit="1" customWidth="1"/>
    <col min="521" max="521" width="26.453125" style="115" customWidth="1"/>
    <col min="522" max="766" width="9.1796875" style="115"/>
    <col min="767" max="767" width="8.7265625" style="115" bestFit="1" customWidth="1"/>
    <col min="768" max="768" width="13.26953125" style="115" customWidth="1"/>
    <col min="769" max="769" width="16.1796875" style="115" bestFit="1" customWidth="1"/>
    <col min="770" max="770" width="23.54296875" style="115" customWidth="1"/>
    <col min="771" max="771" width="17.26953125" style="115" customWidth="1"/>
    <col min="772" max="772" width="20.54296875" style="115" bestFit="1" customWidth="1"/>
    <col min="773" max="773" width="17.1796875" style="115" customWidth="1"/>
    <col min="774" max="774" width="21.81640625" style="115" bestFit="1" customWidth="1"/>
    <col min="775" max="775" width="17.1796875" style="115" bestFit="1" customWidth="1"/>
    <col min="776" max="776" width="18.1796875" style="115" bestFit="1" customWidth="1"/>
    <col min="777" max="777" width="26.453125" style="115" customWidth="1"/>
    <col min="778" max="1022" width="9.1796875" style="115"/>
    <col min="1023" max="1023" width="8.7265625" style="115" bestFit="1" customWidth="1"/>
    <col min="1024" max="1024" width="13.26953125" style="115" customWidth="1"/>
    <col min="1025" max="1025" width="16.1796875" style="115" bestFit="1" customWidth="1"/>
    <col min="1026" max="1026" width="23.54296875" style="115" customWidth="1"/>
    <col min="1027" max="1027" width="17.26953125" style="115" customWidth="1"/>
    <col min="1028" max="1028" width="20.54296875" style="115" bestFit="1" customWidth="1"/>
    <col min="1029" max="1029" width="17.1796875" style="115" customWidth="1"/>
    <col min="1030" max="1030" width="21.81640625" style="115" bestFit="1" customWidth="1"/>
    <col min="1031" max="1031" width="17.1796875" style="115" bestFit="1" customWidth="1"/>
    <col min="1032" max="1032" width="18.1796875" style="115" bestFit="1" customWidth="1"/>
    <col min="1033" max="1033" width="26.453125" style="115" customWidth="1"/>
    <col min="1034" max="1278" width="9.1796875" style="115"/>
    <col min="1279" max="1279" width="8.7265625" style="115" bestFit="1" customWidth="1"/>
    <col min="1280" max="1280" width="13.26953125" style="115" customWidth="1"/>
    <col min="1281" max="1281" width="16.1796875" style="115" bestFit="1" customWidth="1"/>
    <col min="1282" max="1282" width="23.54296875" style="115" customWidth="1"/>
    <col min="1283" max="1283" width="17.26953125" style="115" customWidth="1"/>
    <col min="1284" max="1284" width="20.54296875" style="115" bestFit="1" customWidth="1"/>
    <col min="1285" max="1285" width="17.1796875" style="115" customWidth="1"/>
    <col min="1286" max="1286" width="21.81640625" style="115" bestFit="1" customWidth="1"/>
    <col min="1287" max="1287" width="17.1796875" style="115" bestFit="1" customWidth="1"/>
    <col min="1288" max="1288" width="18.1796875" style="115" bestFit="1" customWidth="1"/>
    <col min="1289" max="1289" width="26.453125" style="115" customWidth="1"/>
    <col min="1290" max="1534" width="9.1796875" style="115"/>
    <col min="1535" max="1535" width="8.7265625" style="115" bestFit="1" customWidth="1"/>
    <col min="1536" max="1536" width="13.26953125" style="115" customWidth="1"/>
    <col min="1537" max="1537" width="16.1796875" style="115" bestFit="1" customWidth="1"/>
    <col min="1538" max="1538" width="23.54296875" style="115" customWidth="1"/>
    <col min="1539" max="1539" width="17.26953125" style="115" customWidth="1"/>
    <col min="1540" max="1540" width="20.54296875" style="115" bestFit="1" customWidth="1"/>
    <col min="1541" max="1541" width="17.1796875" style="115" customWidth="1"/>
    <col min="1542" max="1542" width="21.81640625" style="115" bestFit="1" customWidth="1"/>
    <col min="1543" max="1543" width="17.1796875" style="115" bestFit="1" customWidth="1"/>
    <col min="1544" max="1544" width="18.1796875" style="115" bestFit="1" customWidth="1"/>
    <col min="1545" max="1545" width="26.453125" style="115" customWidth="1"/>
    <col min="1546" max="1790" width="9.1796875" style="115"/>
    <col min="1791" max="1791" width="8.7265625" style="115" bestFit="1" customWidth="1"/>
    <col min="1792" max="1792" width="13.26953125" style="115" customWidth="1"/>
    <col min="1793" max="1793" width="16.1796875" style="115" bestFit="1" customWidth="1"/>
    <col min="1794" max="1794" width="23.54296875" style="115" customWidth="1"/>
    <col min="1795" max="1795" width="17.26953125" style="115" customWidth="1"/>
    <col min="1796" max="1796" width="20.54296875" style="115" bestFit="1" customWidth="1"/>
    <col min="1797" max="1797" width="17.1796875" style="115" customWidth="1"/>
    <col min="1798" max="1798" width="21.81640625" style="115" bestFit="1" customWidth="1"/>
    <col min="1799" max="1799" width="17.1796875" style="115" bestFit="1" customWidth="1"/>
    <col min="1800" max="1800" width="18.1796875" style="115" bestFit="1" customWidth="1"/>
    <col min="1801" max="1801" width="26.453125" style="115" customWidth="1"/>
    <col min="1802" max="2046" width="9.1796875" style="115"/>
    <col min="2047" max="2047" width="8.7265625" style="115" bestFit="1" customWidth="1"/>
    <col min="2048" max="2048" width="13.26953125" style="115" customWidth="1"/>
    <col min="2049" max="2049" width="16.1796875" style="115" bestFit="1" customWidth="1"/>
    <col min="2050" max="2050" width="23.54296875" style="115" customWidth="1"/>
    <col min="2051" max="2051" width="17.26953125" style="115" customWidth="1"/>
    <col min="2052" max="2052" width="20.54296875" style="115" bestFit="1" customWidth="1"/>
    <col min="2053" max="2053" width="17.1796875" style="115" customWidth="1"/>
    <col min="2054" max="2054" width="21.81640625" style="115" bestFit="1" customWidth="1"/>
    <col min="2055" max="2055" width="17.1796875" style="115" bestFit="1" customWidth="1"/>
    <col min="2056" max="2056" width="18.1796875" style="115" bestFit="1" customWidth="1"/>
    <col min="2057" max="2057" width="26.453125" style="115" customWidth="1"/>
    <col min="2058" max="2302" width="9.1796875" style="115"/>
    <col min="2303" max="2303" width="8.7265625" style="115" bestFit="1" customWidth="1"/>
    <col min="2304" max="2304" width="13.26953125" style="115" customWidth="1"/>
    <col min="2305" max="2305" width="16.1796875" style="115" bestFit="1" customWidth="1"/>
    <col min="2306" max="2306" width="23.54296875" style="115" customWidth="1"/>
    <col min="2307" max="2307" width="17.26953125" style="115" customWidth="1"/>
    <col min="2308" max="2308" width="20.54296875" style="115" bestFit="1" customWidth="1"/>
    <col min="2309" max="2309" width="17.1796875" style="115" customWidth="1"/>
    <col min="2310" max="2310" width="21.81640625" style="115" bestFit="1" customWidth="1"/>
    <col min="2311" max="2311" width="17.1796875" style="115" bestFit="1" customWidth="1"/>
    <col min="2312" max="2312" width="18.1796875" style="115" bestFit="1" customWidth="1"/>
    <col min="2313" max="2313" width="26.453125" style="115" customWidth="1"/>
    <col min="2314" max="2558" width="9.1796875" style="115"/>
    <col min="2559" max="2559" width="8.7265625" style="115" bestFit="1" customWidth="1"/>
    <col min="2560" max="2560" width="13.26953125" style="115" customWidth="1"/>
    <col min="2561" max="2561" width="16.1796875" style="115" bestFit="1" customWidth="1"/>
    <col min="2562" max="2562" width="23.54296875" style="115" customWidth="1"/>
    <col min="2563" max="2563" width="17.26953125" style="115" customWidth="1"/>
    <col min="2564" max="2564" width="20.54296875" style="115" bestFit="1" customWidth="1"/>
    <col min="2565" max="2565" width="17.1796875" style="115" customWidth="1"/>
    <col min="2566" max="2566" width="21.81640625" style="115" bestFit="1" customWidth="1"/>
    <col min="2567" max="2567" width="17.1796875" style="115" bestFit="1" customWidth="1"/>
    <col min="2568" max="2568" width="18.1796875" style="115" bestFit="1" customWidth="1"/>
    <col min="2569" max="2569" width="26.453125" style="115" customWidth="1"/>
    <col min="2570" max="2814" width="9.1796875" style="115"/>
    <col min="2815" max="2815" width="8.7265625" style="115" bestFit="1" customWidth="1"/>
    <col min="2816" max="2816" width="13.26953125" style="115" customWidth="1"/>
    <col min="2817" max="2817" width="16.1796875" style="115" bestFit="1" customWidth="1"/>
    <col min="2818" max="2818" width="23.54296875" style="115" customWidth="1"/>
    <col min="2819" max="2819" width="17.26953125" style="115" customWidth="1"/>
    <col min="2820" max="2820" width="20.54296875" style="115" bestFit="1" customWidth="1"/>
    <col min="2821" max="2821" width="17.1796875" style="115" customWidth="1"/>
    <col min="2822" max="2822" width="21.81640625" style="115" bestFit="1" customWidth="1"/>
    <col min="2823" max="2823" width="17.1796875" style="115" bestFit="1" customWidth="1"/>
    <col min="2824" max="2824" width="18.1796875" style="115" bestFit="1" customWidth="1"/>
    <col min="2825" max="2825" width="26.453125" style="115" customWidth="1"/>
    <col min="2826" max="3070" width="9.1796875" style="115"/>
    <col min="3071" max="3071" width="8.7265625" style="115" bestFit="1" customWidth="1"/>
    <col min="3072" max="3072" width="13.26953125" style="115" customWidth="1"/>
    <col min="3073" max="3073" width="16.1796875" style="115" bestFit="1" customWidth="1"/>
    <col min="3074" max="3074" width="23.54296875" style="115" customWidth="1"/>
    <col min="3075" max="3075" width="17.26953125" style="115" customWidth="1"/>
    <col min="3076" max="3076" width="20.54296875" style="115" bestFit="1" customWidth="1"/>
    <col min="3077" max="3077" width="17.1796875" style="115" customWidth="1"/>
    <col min="3078" max="3078" width="21.81640625" style="115" bestFit="1" customWidth="1"/>
    <col min="3079" max="3079" width="17.1796875" style="115" bestFit="1" customWidth="1"/>
    <col min="3080" max="3080" width="18.1796875" style="115" bestFit="1" customWidth="1"/>
    <col min="3081" max="3081" width="26.453125" style="115" customWidth="1"/>
    <col min="3082" max="3326" width="9.1796875" style="115"/>
    <col min="3327" max="3327" width="8.7265625" style="115" bestFit="1" customWidth="1"/>
    <col min="3328" max="3328" width="13.26953125" style="115" customWidth="1"/>
    <col min="3329" max="3329" width="16.1796875" style="115" bestFit="1" customWidth="1"/>
    <col min="3330" max="3330" width="23.54296875" style="115" customWidth="1"/>
    <col min="3331" max="3331" width="17.26953125" style="115" customWidth="1"/>
    <col min="3332" max="3332" width="20.54296875" style="115" bestFit="1" customWidth="1"/>
    <col min="3333" max="3333" width="17.1796875" style="115" customWidth="1"/>
    <col min="3334" max="3334" width="21.81640625" style="115" bestFit="1" customWidth="1"/>
    <col min="3335" max="3335" width="17.1796875" style="115" bestFit="1" customWidth="1"/>
    <col min="3336" max="3336" width="18.1796875" style="115" bestFit="1" customWidth="1"/>
    <col min="3337" max="3337" width="26.453125" style="115" customWidth="1"/>
    <col min="3338" max="3582" width="9.1796875" style="115"/>
    <col min="3583" max="3583" width="8.7265625" style="115" bestFit="1" customWidth="1"/>
    <col min="3584" max="3584" width="13.26953125" style="115" customWidth="1"/>
    <col min="3585" max="3585" width="16.1796875" style="115" bestFit="1" customWidth="1"/>
    <col min="3586" max="3586" width="23.54296875" style="115" customWidth="1"/>
    <col min="3587" max="3587" width="17.26953125" style="115" customWidth="1"/>
    <col min="3588" max="3588" width="20.54296875" style="115" bestFit="1" customWidth="1"/>
    <col min="3589" max="3589" width="17.1796875" style="115" customWidth="1"/>
    <col min="3590" max="3590" width="21.81640625" style="115" bestFit="1" customWidth="1"/>
    <col min="3591" max="3591" width="17.1796875" style="115" bestFit="1" customWidth="1"/>
    <col min="3592" max="3592" width="18.1796875" style="115" bestFit="1" customWidth="1"/>
    <col min="3593" max="3593" width="26.453125" style="115" customWidth="1"/>
    <col min="3594" max="3838" width="9.1796875" style="115"/>
    <col min="3839" max="3839" width="8.7265625" style="115" bestFit="1" customWidth="1"/>
    <col min="3840" max="3840" width="13.26953125" style="115" customWidth="1"/>
    <col min="3841" max="3841" width="16.1796875" style="115" bestFit="1" customWidth="1"/>
    <col min="3842" max="3842" width="23.54296875" style="115" customWidth="1"/>
    <col min="3843" max="3843" width="17.26953125" style="115" customWidth="1"/>
    <col min="3844" max="3844" width="20.54296875" style="115" bestFit="1" customWidth="1"/>
    <col min="3845" max="3845" width="17.1796875" style="115" customWidth="1"/>
    <col min="3846" max="3846" width="21.81640625" style="115" bestFit="1" customWidth="1"/>
    <col min="3847" max="3847" width="17.1796875" style="115" bestFit="1" customWidth="1"/>
    <col min="3848" max="3848" width="18.1796875" style="115" bestFit="1" customWidth="1"/>
    <col min="3849" max="3849" width="26.453125" style="115" customWidth="1"/>
    <col min="3850" max="4094" width="9.1796875" style="115"/>
    <col min="4095" max="4095" width="8.7265625" style="115" bestFit="1" customWidth="1"/>
    <col min="4096" max="4096" width="13.26953125" style="115" customWidth="1"/>
    <col min="4097" max="4097" width="16.1796875" style="115" bestFit="1" customWidth="1"/>
    <col min="4098" max="4098" width="23.54296875" style="115" customWidth="1"/>
    <col min="4099" max="4099" width="17.26953125" style="115" customWidth="1"/>
    <col min="4100" max="4100" width="20.54296875" style="115" bestFit="1" customWidth="1"/>
    <col min="4101" max="4101" width="17.1796875" style="115" customWidth="1"/>
    <col min="4102" max="4102" width="21.81640625" style="115" bestFit="1" customWidth="1"/>
    <col min="4103" max="4103" width="17.1796875" style="115" bestFit="1" customWidth="1"/>
    <col min="4104" max="4104" width="18.1796875" style="115" bestFit="1" customWidth="1"/>
    <col min="4105" max="4105" width="26.453125" style="115" customWidth="1"/>
    <col min="4106" max="4350" width="9.1796875" style="115"/>
    <col min="4351" max="4351" width="8.7265625" style="115" bestFit="1" customWidth="1"/>
    <col min="4352" max="4352" width="13.26953125" style="115" customWidth="1"/>
    <col min="4353" max="4353" width="16.1796875" style="115" bestFit="1" customWidth="1"/>
    <col min="4354" max="4354" width="23.54296875" style="115" customWidth="1"/>
    <col min="4355" max="4355" width="17.26953125" style="115" customWidth="1"/>
    <col min="4356" max="4356" width="20.54296875" style="115" bestFit="1" customWidth="1"/>
    <col min="4357" max="4357" width="17.1796875" style="115" customWidth="1"/>
    <col min="4358" max="4358" width="21.81640625" style="115" bestFit="1" customWidth="1"/>
    <col min="4359" max="4359" width="17.1796875" style="115" bestFit="1" customWidth="1"/>
    <col min="4360" max="4360" width="18.1796875" style="115" bestFit="1" customWidth="1"/>
    <col min="4361" max="4361" width="26.453125" style="115" customWidth="1"/>
    <col min="4362" max="4606" width="9.1796875" style="115"/>
    <col min="4607" max="4607" width="8.7265625" style="115" bestFit="1" customWidth="1"/>
    <col min="4608" max="4608" width="13.26953125" style="115" customWidth="1"/>
    <col min="4609" max="4609" width="16.1796875" style="115" bestFit="1" customWidth="1"/>
    <col min="4610" max="4610" width="23.54296875" style="115" customWidth="1"/>
    <col min="4611" max="4611" width="17.26953125" style="115" customWidth="1"/>
    <col min="4612" max="4612" width="20.54296875" style="115" bestFit="1" customWidth="1"/>
    <col min="4613" max="4613" width="17.1796875" style="115" customWidth="1"/>
    <col min="4614" max="4614" width="21.81640625" style="115" bestFit="1" customWidth="1"/>
    <col min="4615" max="4615" width="17.1796875" style="115" bestFit="1" customWidth="1"/>
    <col min="4616" max="4616" width="18.1796875" style="115" bestFit="1" customWidth="1"/>
    <col min="4617" max="4617" width="26.453125" style="115" customWidth="1"/>
    <col min="4618" max="4862" width="9.1796875" style="115"/>
    <col min="4863" max="4863" width="8.7265625" style="115" bestFit="1" customWidth="1"/>
    <col min="4864" max="4864" width="13.26953125" style="115" customWidth="1"/>
    <col min="4865" max="4865" width="16.1796875" style="115" bestFit="1" customWidth="1"/>
    <col min="4866" max="4866" width="23.54296875" style="115" customWidth="1"/>
    <col min="4867" max="4867" width="17.26953125" style="115" customWidth="1"/>
    <col min="4868" max="4868" width="20.54296875" style="115" bestFit="1" customWidth="1"/>
    <col min="4869" max="4869" width="17.1796875" style="115" customWidth="1"/>
    <col min="4870" max="4870" width="21.81640625" style="115" bestFit="1" customWidth="1"/>
    <col min="4871" max="4871" width="17.1796875" style="115" bestFit="1" customWidth="1"/>
    <col min="4872" max="4872" width="18.1796875" style="115" bestFit="1" customWidth="1"/>
    <col min="4873" max="4873" width="26.453125" style="115" customWidth="1"/>
    <col min="4874" max="5118" width="9.1796875" style="115"/>
    <col min="5119" max="5119" width="8.7265625" style="115" bestFit="1" customWidth="1"/>
    <col min="5120" max="5120" width="13.26953125" style="115" customWidth="1"/>
    <col min="5121" max="5121" width="16.1796875" style="115" bestFit="1" customWidth="1"/>
    <col min="5122" max="5122" width="23.54296875" style="115" customWidth="1"/>
    <col min="5123" max="5123" width="17.26953125" style="115" customWidth="1"/>
    <col min="5124" max="5124" width="20.54296875" style="115" bestFit="1" customWidth="1"/>
    <col min="5125" max="5125" width="17.1796875" style="115" customWidth="1"/>
    <col min="5126" max="5126" width="21.81640625" style="115" bestFit="1" customWidth="1"/>
    <col min="5127" max="5127" width="17.1796875" style="115" bestFit="1" customWidth="1"/>
    <col min="5128" max="5128" width="18.1796875" style="115" bestFit="1" customWidth="1"/>
    <col min="5129" max="5129" width="26.453125" style="115" customWidth="1"/>
    <col min="5130" max="5374" width="9.1796875" style="115"/>
    <col min="5375" max="5375" width="8.7265625" style="115" bestFit="1" customWidth="1"/>
    <col min="5376" max="5376" width="13.26953125" style="115" customWidth="1"/>
    <col min="5377" max="5377" width="16.1796875" style="115" bestFit="1" customWidth="1"/>
    <col min="5378" max="5378" width="23.54296875" style="115" customWidth="1"/>
    <col min="5379" max="5379" width="17.26953125" style="115" customWidth="1"/>
    <col min="5380" max="5380" width="20.54296875" style="115" bestFit="1" customWidth="1"/>
    <col min="5381" max="5381" width="17.1796875" style="115" customWidth="1"/>
    <col min="5382" max="5382" width="21.81640625" style="115" bestFit="1" customWidth="1"/>
    <col min="5383" max="5383" width="17.1796875" style="115" bestFit="1" customWidth="1"/>
    <col min="5384" max="5384" width="18.1796875" style="115" bestFit="1" customWidth="1"/>
    <col min="5385" max="5385" width="26.453125" style="115" customWidth="1"/>
    <col min="5386" max="5630" width="9.1796875" style="115"/>
    <col min="5631" max="5631" width="8.7265625" style="115" bestFit="1" customWidth="1"/>
    <col min="5632" max="5632" width="13.26953125" style="115" customWidth="1"/>
    <col min="5633" max="5633" width="16.1796875" style="115" bestFit="1" customWidth="1"/>
    <col min="5634" max="5634" width="23.54296875" style="115" customWidth="1"/>
    <col min="5635" max="5635" width="17.26953125" style="115" customWidth="1"/>
    <col min="5636" max="5636" width="20.54296875" style="115" bestFit="1" customWidth="1"/>
    <col min="5637" max="5637" width="17.1796875" style="115" customWidth="1"/>
    <col min="5638" max="5638" width="21.81640625" style="115" bestFit="1" customWidth="1"/>
    <col min="5639" max="5639" width="17.1796875" style="115" bestFit="1" customWidth="1"/>
    <col min="5640" max="5640" width="18.1796875" style="115" bestFit="1" customWidth="1"/>
    <col min="5641" max="5641" width="26.453125" style="115" customWidth="1"/>
    <col min="5642" max="5886" width="9.1796875" style="115"/>
    <col min="5887" max="5887" width="8.7265625" style="115" bestFit="1" customWidth="1"/>
    <col min="5888" max="5888" width="13.26953125" style="115" customWidth="1"/>
    <col min="5889" max="5889" width="16.1796875" style="115" bestFit="1" customWidth="1"/>
    <col min="5890" max="5890" width="23.54296875" style="115" customWidth="1"/>
    <col min="5891" max="5891" width="17.26953125" style="115" customWidth="1"/>
    <col min="5892" max="5892" width="20.54296875" style="115" bestFit="1" customWidth="1"/>
    <col min="5893" max="5893" width="17.1796875" style="115" customWidth="1"/>
    <col min="5894" max="5894" width="21.81640625" style="115" bestFit="1" customWidth="1"/>
    <col min="5895" max="5895" width="17.1796875" style="115" bestFit="1" customWidth="1"/>
    <col min="5896" max="5896" width="18.1796875" style="115" bestFit="1" customWidth="1"/>
    <col min="5897" max="5897" width="26.453125" style="115" customWidth="1"/>
    <col min="5898" max="6142" width="9.1796875" style="115"/>
    <col min="6143" max="6143" width="8.7265625" style="115" bestFit="1" customWidth="1"/>
    <col min="6144" max="6144" width="13.26953125" style="115" customWidth="1"/>
    <col min="6145" max="6145" width="16.1796875" style="115" bestFit="1" customWidth="1"/>
    <col min="6146" max="6146" width="23.54296875" style="115" customWidth="1"/>
    <col min="6147" max="6147" width="17.26953125" style="115" customWidth="1"/>
    <col min="6148" max="6148" width="20.54296875" style="115" bestFit="1" customWidth="1"/>
    <col min="6149" max="6149" width="17.1796875" style="115" customWidth="1"/>
    <col min="6150" max="6150" width="21.81640625" style="115" bestFit="1" customWidth="1"/>
    <col min="6151" max="6151" width="17.1796875" style="115" bestFit="1" customWidth="1"/>
    <col min="6152" max="6152" width="18.1796875" style="115" bestFit="1" customWidth="1"/>
    <col min="6153" max="6153" width="26.453125" style="115" customWidth="1"/>
    <col min="6154" max="6398" width="9.1796875" style="115"/>
    <col min="6399" max="6399" width="8.7265625" style="115" bestFit="1" customWidth="1"/>
    <col min="6400" max="6400" width="13.26953125" style="115" customWidth="1"/>
    <col min="6401" max="6401" width="16.1796875" style="115" bestFit="1" customWidth="1"/>
    <col min="6402" max="6402" width="23.54296875" style="115" customWidth="1"/>
    <col min="6403" max="6403" width="17.26953125" style="115" customWidth="1"/>
    <col min="6404" max="6404" width="20.54296875" style="115" bestFit="1" customWidth="1"/>
    <col min="6405" max="6405" width="17.1796875" style="115" customWidth="1"/>
    <col min="6406" max="6406" width="21.81640625" style="115" bestFit="1" customWidth="1"/>
    <col min="6407" max="6407" width="17.1796875" style="115" bestFit="1" customWidth="1"/>
    <col min="6408" max="6408" width="18.1796875" style="115" bestFit="1" customWidth="1"/>
    <col min="6409" max="6409" width="26.453125" style="115" customWidth="1"/>
    <col min="6410" max="6654" width="9.1796875" style="115"/>
    <col min="6655" max="6655" width="8.7265625" style="115" bestFit="1" customWidth="1"/>
    <col min="6656" max="6656" width="13.26953125" style="115" customWidth="1"/>
    <col min="6657" max="6657" width="16.1796875" style="115" bestFit="1" customWidth="1"/>
    <col min="6658" max="6658" width="23.54296875" style="115" customWidth="1"/>
    <col min="6659" max="6659" width="17.26953125" style="115" customWidth="1"/>
    <col min="6660" max="6660" width="20.54296875" style="115" bestFit="1" customWidth="1"/>
    <col min="6661" max="6661" width="17.1796875" style="115" customWidth="1"/>
    <col min="6662" max="6662" width="21.81640625" style="115" bestFit="1" customWidth="1"/>
    <col min="6663" max="6663" width="17.1796875" style="115" bestFit="1" customWidth="1"/>
    <col min="6664" max="6664" width="18.1796875" style="115" bestFit="1" customWidth="1"/>
    <col min="6665" max="6665" width="26.453125" style="115" customWidth="1"/>
    <col min="6666" max="6910" width="9.1796875" style="115"/>
    <col min="6911" max="6911" width="8.7265625" style="115" bestFit="1" customWidth="1"/>
    <col min="6912" max="6912" width="13.26953125" style="115" customWidth="1"/>
    <col min="6913" max="6913" width="16.1796875" style="115" bestFit="1" customWidth="1"/>
    <col min="6914" max="6914" width="23.54296875" style="115" customWidth="1"/>
    <col min="6915" max="6915" width="17.26953125" style="115" customWidth="1"/>
    <col min="6916" max="6916" width="20.54296875" style="115" bestFit="1" customWidth="1"/>
    <col min="6917" max="6917" width="17.1796875" style="115" customWidth="1"/>
    <col min="6918" max="6918" width="21.81640625" style="115" bestFit="1" customWidth="1"/>
    <col min="6919" max="6919" width="17.1796875" style="115" bestFit="1" customWidth="1"/>
    <col min="6920" max="6920" width="18.1796875" style="115" bestFit="1" customWidth="1"/>
    <col min="6921" max="6921" width="26.453125" style="115" customWidth="1"/>
    <col min="6922" max="7166" width="9.1796875" style="115"/>
    <col min="7167" max="7167" width="8.7265625" style="115" bestFit="1" customWidth="1"/>
    <col min="7168" max="7168" width="13.26953125" style="115" customWidth="1"/>
    <col min="7169" max="7169" width="16.1796875" style="115" bestFit="1" customWidth="1"/>
    <col min="7170" max="7170" width="23.54296875" style="115" customWidth="1"/>
    <col min="7171" max="7171" width="17.26953125" style="115" customWidth="1"/>
    <col min="7172" max="7172" width="20.54296875" style="115" bestFit="1" customWidth="1"/>
    <col min="7173" max="7173" width="17.1796875" style="115" customWidth="1"/>
    <col min="7174" max="7174" width="21.81640625" style="115" bestFit="1" customWidth="1"/>
    <col min="7175" max="7175" width="17.1796875" style="115" bestFit="1" customWidth="1"/>
    <col min="7176" max="7176" width="18.1796875" style="115" bestFit="1" customWidth="1"/>
    <col min="7177" max="7177" width="26.453125" style="115" customWidth="1"/>
    <col min="7178" max="7422" width="9.1796875" style="115"/>
    <col min="7423" max="7423" width="8.7265625" style="115" bestFit="1" customWidth="1"/>
    <col min="7424" max="7424" width="13.26953125" style="115" customWidth="1"/>
    <col min="7425" max="7425" width="16.1796875" style="115" bestFit="1" customWidth="1"/>
    <col min="7426" max="7426" width="23.54296875" style="115" customWidth="1"/>
    <col min="7427" max="7427" width="17.26953125" style="115" customWidth="1"/>
    <col min="7428" max="7428" width="20.54296875" style="115" bestFit="1" customWidth="1"/>
    <col min="7429" max="7429" width="17.1796875" style="115" customWidth="1"/>
    <col min="7430" max="7430" width="21.81640625" style="115" bestFit="1" customWidth="1"/>
    <col min="7431" max="7431" width="17.1796875" style="115" bestFit="1" customWidth="1"/>
    <col min="7432" max="7432" width="18.1796875" style="115" bestFit="1" customWidth="1"/>
    <col min="7433" max="7433" width="26.453125" style="115" customWidth="1"/>
    <col min="7434" max="7678" width="9.1796875" style="115"/>
    <col min="7679" max="7679" width="8.7265625" style="115" bestFit="1" customWidth="1"/>
    <col min="7680" max="7680" width="13.26953125" style="115" customWidth="1"/>
    <col min="7681" max="7681" width="16.1796875" style="115" bestFit="1" customWidth="1"/>
    <col min="7682" max="7682" width="23.54296875" style="115" customWidth="1"/>
    <col min="7683" max="7683" width="17.26953125" style="115" customWidth="1"/>
    <col min="7684" max="7684" width="20.54296875" style="115" bestFit="1" customWidth="1"/>
    <col min="7685" max="7685" width="17.1796875" style="115" customWidth="1"/>
    <col min="7686" max="7686" width="21.81640625" style="115" bestFit="1" customWidth="1"/>
    <col min="7687" max="7687" width="17.1796875" style="115" bestFit="1" customWidth="1"/>
    <col min="7688" max="7688" width="18.1796875" style="115" bestFit="1" customWidth="1"/>
    <col min="7689" max="7689" width="26.453125" style="115" customWidth="1"/>
    <col min="7690" max="7934" width="9.1796875" style="115"/>
    <col min="7935" max="7935" width="8.7265625" style="115" bestFit="1" customWidth="1"/>
    <col min="7936" max="7936" width="13.26953125" style="115" customWidth="1"/>
    <col min="7937" max="7937" width="16.1796875" style="115" bestFit="1" customWidth="1"/>
    <col min="7938" max="7938" width="23.54296875" style="115" customWidth="1"/>
    <col min="7939" max="7939" width="17.26953125" style="115" customWidth="1"/>
    <col min="7940" max="7940" width="20.54296875" style="115" bestFit="1" customWidth="1"/>
    <col min="7941" max="7941" width="17.1796875" style="115" customWidth="1"/>
    <col min="7942" max="7942" width="21.81640625" style="115" bestFit="1" customWidth="1"/>
    <col min="7943" max="7943" width="17.1796875" style="115" bestFit="1" customWidth="1"/>
    <col min="7944" max="7944" width="18.1796875" style="115" bestFit="1" customWidth="1"/>
    <col min="7945" max="7945" width="26.453125" style="115" customWidth="1"/>
    <col min="7946" max="8190" width="9.1796875" style="115"/>
    <col min="8191" max="8191" width="8.7265625" style="115" bestFit="1" customWidth="1"/>
    <col min="8192" max="8192" width="13.26953125" style="115" customWidth="1"/>
    <col min="8193" max="8193" width="16.1796875" style="115" bestFit="1" customWidth="1"/>
    <col min="8194" max="8194" width="23.54296875" style="115" customWidth="1"/>
    <col min="8195" max="8195" width="17.26953125" style="115" customWidth="1"/>
    <col min="8196" max="8196" width="20.54296875" style="115" bestFit="1" customWidth="1"/>
    <col min="8197" max="8197" width="17.1796875" style="115" customWidth="1"/>
    <col min="8198" max="8198" width="21.81640625" style="115" bestFit="1" customWidth="1"/>
    <col min="8199" max="8199" width="17.1796875" style="115" bestFit="1" customWidth="1"/>
    <col min="8200" max="8200" width="18.1796875" style="115" bestFit="1" customWidth="1"/>
    <col min="8201" max="8201" width="26.453125" style="115" customWidth="1"/>
    <col min="8202" max="8446" width="9.1796875" style="115"/>
    <col min="8447" max="8447" width="8.7265625" style="115" bestFit="1" customWidth="1"/>
    <col min="8448" max="8448" width="13.26953125" style="115" customWidth="1"/>
    <col min="8449" max="8449" width="16.1796875" style="115" bestFit="1" customWidth="1"/>
    <col min="8450" max="8450" width="23.54296875" style="115" customWidth="1"/>
    <col min="8451" max="8451" width="17.26953125" style="115" customWidth="1"/>
    <col min="8452" max="8452" width="20.54296875" style="115" bestFit="1" customWidth="1"/>
    <col min="8453" max="8453" width="17.1796875" style="115" customWidth="1"/>
    <col min="8454" max="8454" width="21.81640625" style="115" bestFit="1" customWidth="1"/>
    <col min="8455" max="8455" width="17.1796875" style="115" bestFit="1" customWidth="1"/>
    <col min="8456" max="8456" width="18.1796875" style="115" bestFit="1" customWidth="1"/>
    <col min="8457" max="8457" width="26.453125" style="115" customWidth="1"/>
    <col min="8458" max="8702" width="9.1796875" style="115"/>
    <col min="8703" max="8703" width="8.7265625" style="115" bestFit="1" customWidth="1"/>
    <col min="8704" max="8704" width="13.26953125" style="115" customWidth="1"/>
    <col min="8705" max="8705" width="16.1796875" style="115" bestFit="1" customWidth="1"/>
    <col min="8706" max="8706" width="23.54296875" style="115" customWidth="1"/>
    <col min="8707" max="8707" width="17.26953125" style="115" customWidth="1"/>
    <col min="8708" max="8708" width="20.54296875" style="115" bestFit="1" customWidth="1"/>
    <col min="8709" max="8709" width="17.1796875" style="115" customWidth="1"/>
    <col min="8710" max="8710" width="21.81640625" style="115" bestFit="1" customWidth="1"/>
    <col min="8711" max="8711" width="17.1796875" style="115" bestFit="1" customWidth="1"/>
    <col min="8712" max="8712" width="18.1796875" style="115" bestFit="1" customWidth="1"/>
    <col min="8713" max="8713" width="26.453125" style="115" customWidth="1"/>
    <col min="8714" max="8958" width="9.1796875" style="115"/>
    <col min="8959" max="8959" width="8.7265625" style="115" bestFit="1" customWidth="1"/>
    <col min="8960" max="8960" width="13.26953125" style="115" customWidth="1"/>
    <col min="8961" max="8961" width="16.1796875" style="115" bestFit="1" customWidth="1"/>
    <col min="8962" max="8962" width="23.54296875" style="115" customWidth="1"/>
    <col min="8963" max="8963" width="17.26953125" style="115" customWidth="1"/>
    <col min="8964" max="8964" width="20.54296875" style="115" bestFit="1" customWidth="1"/>
    <col min="8965" max="8965" width="17.1796875" style="115" customWidth="1"/>
    <col min="8966" max="8966" width="21.81640625" style="115" bestFit="1" customWidth="1"/>
    <col min="8967" max="8967" width="17.1796875" style="115" bestFit="1" customWidth="1"/>
    <col min="8968" max="8968" width="18.1796875" style="115" bestFit="1" customWidth="1"/>
    <col min="8969" max="8969" width="26.453125" style="115" customWidth="1"/>
    <col min="8970" max="9214" width="9.1796875" style="115"/>
    <col min="9215" max="9215" width="8.7265625" style="115" bestFit="1" customWidth="1"/>
    <col min="9216" max="9216" width="13.26953125" style="115" customWidth="1"/>
    <col min="9217" max="9217" width="16.1796875" style="115" bestFit="1" customWidth="1"/>
    <col min="9218" max="9218" width="23.54296875" style="115" customWidth="1"/>
    <col min="9219" max="9219" width="17.26953125" style="115" customWidth="1"/>
    <col min="9220" max="9220" width="20.54296875" style="115" bestFit="1" customWidth="1"/>
    <col min="9221" max="9221" width="17.1796875" style="115" customWidth="1"/>
    <col min="9222" max="9222" width="21.81640625" style="115" bestFit="1" customWidth="1"/>
    <col min="9223" max="9223" width="17.1796875" style="115" bestFit="1" customWidth="1"/>
    <col min="9224" max="9224" width="18.1796875" style="115" bestFit="1" customWidth="1"/>
    <col min="9225" max="9225" width="26.453125" style="115" customWidth="1"/>
    <col min="9226" max="9470" width="9.1796875" style="115"/>
    <col min="9471" max="9471" width="8.7265625" style="115" bestFit="1" customWidth="1"/>
    <col min="9472" max="9472" width="13.26953125" style="115" customWidth="1"/>
    <col min="9473" max="9473" width="16.1796875" style="115" bestFit="1" customWidth="1"/>
    <col min="9474" max="9474" width="23.54296875" style="115" customWidth="1"/>
    <col min="9475" max="9475" width="17.26953125" style="115" customWidth="1"/>
    <col min="9476" max="9476" width="20.54296875" style="115" bestFit="1" customWidth="1"/>
    <col min="9477" max="9477" width="17.1796875" style="115" customWidth="1"/>
    <col min="9478" max="9478" width="21.81640625" style="115" bestFit="1" customWidth="1"/>
    <col min="9479" max="9479" width="17.1796875" style="115" bestFit="1" customWidth="1"/>
    <col min="9480" max="9480" width="18.1796875" style="115" bestFit="1" customWidth="1"/>
    <col min="9481" max="9481" width="26.453125" style="115" customWidth="1"/>
    <col min="9482" max="9726" width="9.1796875" style="115"/>
    <col min="9727" max="9727" width="8.7265625" style="115" bestFit="1" customWidth="1"/>
    <col min="9728" max="9728" width="13.26953125" style="115" customWidth="1"/>
    <col min="9729" max="9729" width="16.1796875" style="115" bestFit="1" customWidth="1"/>
    <col min="9730" max="9730" width="23.54296875" style="115" customWidth="1"/>
    <col min="9731" max="9731" width="17.26953125" style="115" customWidth="1"/>
    <col min="9732" max="9732" width="20.54296875" style="115" bestFit="1" customWidth="1"/>
    <col min="9733" max="9733" width="17.1796875" style="115" customWidth="1"/>
    <col min="9734" max="9734" width="21.81640625" style="115" bestFit="1" customWidth="1"/>
    <col min="9735" max="9735" width="17.1796875" style="115" bestFit="1" customWidth="1"/>
    <col min="9736" max="9736" width="18.1796875" style="115" bestFit="1" customWidth="1"/>
    <col min="9737" max="9737" width="26.453125" style="115" customWidth="1"/>
    <col min="9738" max="9982" width="9.1796875" style="115"/>
    <col min="9983" max="9983" width="8.7265625" style="115" bestFit="1" customWidth="1"/>
    <col min="9984" max="9984" width="13.26953125" style="115" customWidth="1"/>
    <col min="9985" max="9985" width="16.1796875" style="115" bestFit="1" customWidth="1"/>
    <col min="9986" max="9986" width="23.54296875" style="115" customWidth="1"/>
    <col min="9987" max="9987" width="17.26953125" style="115" customWidth="1"/>
    <col min="9988" max="9988" width="20.54296875" style="115" bestFit="1" customWidth="1"/>
    <col min="9989" max="9989" width="17.1796875" style="115" customWidth="1"/>
    <col min="9990" max="9990" width="21.81640625" style="115" bestFit="1" customWidth="1"/>
    <col min="9991" max="9991" width="17.1796875" style="115" bestFit="1" customWidth="1"/>
    <col min="9992" max="9992" width="18.1796875" style="115" bestFit="1" customWidth="1"/>
    <col min="9993" max="9993" width="26.453125" style="115" customWidth="1"/>
    <col min="9994" max="10238" width="9.1796875" style="115"/>
    <col min="10239" max="10239" width="8.7265625" style="115" bestFit="1" customWidth="1"/>
    <col min="10240" max="10240" width="13.26953125" style="115" customWidth="1"/>
    <col min="10241" max="10241" width="16.1796875" style="115" bestFit="1" customWidth="1"/>
    <col min="10242" max="10242" width="23.54296875" style="115" customWidth="1"/>
    <col min="10243" max="10243" width="17.26953125" style="115" customWidth="1"/>
    <col min="10244" max="10244" width="20.54296875" style="115" bestFit="1" customWidth="1"/>
    <col min="10245" max="10245" width="17.1796875" style="115" customWidth="1"/>
    <col min="10246" max="10246" width="21.81640625" style="115" bestFit="1" customWidth="1"/>
    <col min="10247" max="10247" width="17.1796875" style="115" bestFit="1" customWidth="1"/>
    <col min="10248" max="10248" width="18.1796875" style="115" bestFit="1" customWidth="1"/>
    <col min="10249" max="10249" width="26.453125" style="115" customWidth="1"/>
    <col min="10250" max="10494" width="9.1796875" style="115"/>
    <col min="10495" max="10495" width="8.7265625" style="115" bestFit="1" customWidth="1"/>
    <col min="10496" max="10496" width="13.26953125" style="115" customWidth="1"/>
    <col min="10497" max="10497" width="16.1796875" style="115" bestFit="1" customWidth="1"/>
    <col min="10498" max="10498" width="23.54296875" style="115" customWidth="1"/>
    <col min="10499" max="10499" width="17.26953125" style="115" customWidth="1"/>
    <col min="10500" max="10500" width="20.54296875" style="115" bestFit="1" customWidth="1"/>
    <col min="10501" max="10501" width="17.1796875" style="115" customWidth="1"/>
    <col min="10502" max="10502" width="21.81640625" style="115" bestFit="1" customWidth="1"/>
    <col min="10503" max="10503" width="17.1796875" style="115" bestFit="1" customWidth="1"/>
    <col min="10504" max="10504" width="18.1796875" style="115" bestFit="1" customWidth="1"/>
    <col min="10505" max="10505" width="26.453125" style="115" customWidth="1"/>
    <col min="10506" max="10750" width="9.1796875" style="115"/>
    <col min="10751" max="10751" width="8.7265625" style="115" bestFit="1" customWidth="1"/>
    <col min="10752" max="10752" width="13.26953125" style="115" customWidth="1"/>
    <col min="10753" max="10753" width="16.1796875" style="115" bestFit="1" customWidth="1"/>
    <col min="10754" max="10754" width="23.54296875" style="115" customWidth="1"/>
    <col min="10755" max="10755" width="17.26953125" style="115" customWidth="1"/>
    <col min="10756" max="10756" width="20.54296875" style="115" bestFit="1" customWidth="1"/>
    <col min="10757" max="10757" width="17.1796875" style="115" customWidth="1"/>
    <col min="10758" max="10758" width="21.81640625" style="115" bestFit="1" customWidth="1"/>
    <col min="10759" max="10759" width="17.1796875" style="115" bestFit="1" customWidth="1"/>
    <col min="10760" max="10760" width="18.1796875" style="115" bestFit="1" customWidth="1"/>
    <col min="10761" max="10761" width="26.453125" style="115" customWidth="1"/>
    <col min="10762" max="11006" width="9.1796875" style="115"/>
    <col min="11007" max="11007" width="8.7265625" style="115" bestFit="1" customWidth="1"/>
    <col min="11008" max="11008" width="13.26953125" style="115" customWidth="1"/>
    <col min="11009" max="11009" width="16.1796875" style="115" bestFit="1" customWidth="1"/>
    <col min="11010" max="11010" width="23.54296875" style="115" customWidth="1"/>
    <col min="11011" max="11011" width="17.26953125" style="115" customWidth="1"/>
    <col min="11012" max="11012" width="20.54296875" style="115" bestFit="1" customWidth="1"/>
    <col min="11013" max="11013" width="17.1796875" style="115" customWidth="1"/>
    <col min="11014" max="11014" width="21.81640625" style="115" bestFit="1" customWidth="1"/>
    <col min="11015" max="11015" width="17.1796875" style="115" bestFit="1" customWidth="1"/>
    <col min="11016" max="11016" width="18.1796875" style="115" bestFit="1" customWidth="1"/>
    <col min="11017" max="11017" width="26.453125" style="115" customWidth="1"/>
    <col min="11018" max="11262" width="9.1796875" style="115"/>
    <col min="11263" max="11263" width="8.7265625" style="115" bestFit="1" customWidth="1"/>
    <col min="11264" max="11264" width="13.26953125" style="115" customWidth="1"/>
    <col min="11265" max="11265" width="16.1796875" style="115" bestFit="1" customWidth="1"/>
    <col min="11266" max="11266" width="23.54296875" style="115" customWidth="1"/>
    <col min="11267" max="11267" width="17.26953125" style="115" customWidth="1"/>
    <col min="11268" max="11268" width="20.54296875" style="115" bestFit="1" customWidth="1"/>
    <col min="11269" max="11269" width="17.1796875" style="115" customWidth="1"/>
    <col min="11270" max="11270" width="21.81640625" style="115" bestFit="1" customWidth="1"/>
    <col min="11271" max="11271" width="17.1796875" style="115" bestFit="1" customWidth="1"/>
    <col min="11272" max="11272" width="18.1796875" style="115" bestFit="1" customWidth="1"/>
    <col min="11273" max="11273" width="26.453125" style="115" customWidth="1"/>
    <col min="11274" max="11518" width="9.1796875" style="115"/>
    <col min="11519" max="11519" width="8.7265625" style="115" bestFit="1" customWidth="1"/>
    <col min="11520" max="11520" width="13.26953125" style="115" customWidth="1"/>
    <col min="11521" max="11521" width="16.1796875" style="115" bestFit="1" customWidth="1"/>
    <col min="11522" max="11522" width="23.54296875" style="115" customWidth="1"/>
    <col min="11523" max="11523" width="17.26953125" style="115" customWidth="1"/>
    <col min="11524" max="11524" width="20.54296875" style="115" bestFit="1" customWidth="1"/>
    <col min="11525" max="11525" width="17.1796875" style="115" customWidth="1"/>
    <col min="11526" max="11526" width="21.81640625" style="115" bestFit="1" customWidth="1"/>
    <col min="11527" max="11527" width="17.1796875" style="115" bestFit="1" customWidth="1"/>
    <col min="11528" max="11528" width="18.1796875" style="115" bestFit="1" customWidth="1"/>
    <col min="11529" max="11529" width="26.453125" style="115" customWidth="1"/>
    <col min="11530" max="11774" width="9.1796875" style="115"/>
    <col min="11775" max="11775" width="8.7265625" style="115" bestFit="1" customWidth="1"/>
    <col min="11776" max="11776" width="13.26953125" style="115" customWidth="1"/>
    <col min="11777" max="11777" width="16.1796875" style="115" bestFit="1" customWidth="1"/>
    <col min="11778" max="11778" width="23.54296875" style="115" customWidth="1"/>
    <col min="11779" max="11779" width="17.26953125" style="115" customWidth="1"/>
    <col min="11780" max="11780" width="20.54296875" style="115" bestFit="1" customWidth="1"/>
    <col min="11781" max="11781" width="17.1796875" style="115" customWidth="1"/>
    <col min="11782" max="11782" width="21.81640625" style="115" bestFit="1" customWidth="1"/>
    <col min="11783" max="11783" width="17.1796875" style="115" bestFit="1" customWidth="1"/>
    <col min="11784" max="11784" width="18.1796875" style="115" bestFit="1" customWidth="1"/>
    <col min="11785" max="11785" width="26.453125" style="115" customWidth="1"/>
    <col min="11786" max="12030" width="9.1796875" style="115"/>
    <col min="12031" max="12031" width="8.7265625" style="115" bestFit="1" customWidth="1"/>
    <col min="12032" max="12032" width="13.26953125" style="115" customWidth="1"/>
    <col min="12033" max="12033" width="16.1796875" style="115" bestFit="1" customWidth="1"/>
    <col min="12034" max="12034" width="23.54296875" style="115" customWidth="1"/>
    <col min="12035" max="12035" width="17.26953125" style="115" customWidth="1"/>
    <col min="12036" max="12036" width="20.54296875" style="115" bestFit="1" customWidth="1"/>
    <col min="12037" max="12037" width="17.1796875" style="115" customWidth="1"/>
    <col min="12038" max="12038" width="21.81640625" style="115" bestFit="1" customWidth="1"/>
    <col min="12039" max="12039" width="17.1796875" style="115" bestFit="1" customWidth="1"/>
    <col min="12040" max="12040" width="18.1796875" style="115" bestFit="1" customWidth="1"/>
    <col min="12041" max="12041" width="26.453125" style="115" customWidth="1"/>
    <col min="12042" max="12286" width="9.1796875" style="115"/>
    <col min="12287" max="12287" width="8.7265625" style="115" bestFit="1" customWidth="1"/>
    <col min="12288" max="12288" width="13.26953125" style="115" customWidth="1"/>
    <col min="12289" max="12289" width="16.1796875" style="115" bestFit="1" customWidth="1"/>
    <col min="12290" max="12290" width="23.54296875" style="115" customWidth="1"/>
    <col min="12291" max="12291" width="17.26953125" style="115" customWidth="1"/>
    <col min="12292" max="12292" width="20.54296875" style="115" bestFit="1" customWidth="1"/>
    <col min="12293" max="12293" width="17.1796875" style="115" customWidth="1"/>
    <col min="12294" max="12294" width="21.81640625" style="115" bestFit="1" customWidth="1"/>
    <col min="12295" max="12295" width="17.1796875" style="115" bestFit="1" customWidth="1"/>
    <col min="12296" max="12296" width="18.1796875" style="115" bestFit="1" customWidth="1"/>
    <col min="12297" max="12297" width="26.453125" style="115" customWidth="1"/>
    <col min="12298" max="12542" width="9.1796875" style="115"/>
    <col min="12543" max="12543" width="8.7265625" style="115" bestFit="1" customWidth="1"/>
    <col min="12544" max="12544" width="13.26953125" style="115" customWidth="1"/>
    <col min="12545" max="12545" width="16.1796875" style="115" bestFit="1" customWidth="1"/>
    <col min="12546" max="12546" width="23.54296875" style="115" customWidth="1"/>
    <col min="12547" max="12547" width="17.26953125" style="115" customWidth="1"/>
    <col min="12548" max="12548" width="20.54296875" style="115" bestFit="1" customWidth="1"/>
    <col min="12549" max="12549" width="17.1796875" style="115" customWidth="1"/>
    <col min="12550" max="12550" width="21.81640625" style="115" bestFit="1" customWidth="1"/>
    <col min="12551" max="12551" width="17.1796875" style="115" bestFit="1" customWidth="1"/>
    <col min="12552" max="12552" width="18.1796875" style="115" bestFit="1" customWidth="1"/>
    <col min="12553" max="12553" width="26.453125" style="115" customWidth="1"/>
    <col min="12554" max="12798" width="9.1796875" style="115"/>
    <col min="12799" max="12799" width="8.7265625" style="115" bestFit="1" customWidth="1"/>
    <col min="12800" max="12800" width="13.26953125" style="115" customWidth="1"/>
    <col min="12801" max="12801" width="16.1796875" style="115" bestFit="1" customWidth="1"/>
    <col min="12802" max="12802" width="23.54296875" style="115" customWidth="1"/>
    <col min="12803" max="12803" width="17.26953125" style="115" customWidth="1"/>
    <col min="12804" max="12804" width="20.54296875" style="115" bestFit="1" customWidth="1"/>
    <col min="12805" max="12805" width="17.1796875" style="115" customWidth="1"/>
    <col min="12806" max="12806" width="21.81640625" style="115" bestFit="1" customWidth="1"/>
    <col min="12807" max="12807" width="17.1796875" style="115" bestFit="1" customWidth="1"/>
    <col min="12808" max="12808" width="18.1796875" style="115" bestFit="1" customWidth="1"/>
    <col min="12809" max="12809" width="26.453125" style="115" customWidth="1"/>
    <col min="12810" max="13054" width="9.1796875" style="115"/>
    <col min="13055" max="13055" width="8.7265625" style="115" bestFit="1" customWidth="1"/>
    <col min="13056" max="13056" width="13.26953125" style="115" customWidth="1"/>
    <col min="13057" max="13057" width="16.1796875" style="115" bestFit="1" customWidth="1"/>
    <col min="13058" max="13058" width="23.54296875" style="115" customWidth="1"/>
    <col min="13059" max="13059" width="17.26953125" style="115" customWidth="1"/>
    <col min="13060" max="13060" width="20.54296875" style="115" bestFit="1" customWidth="1"/>
    <col min="13061" max="13061" width="17.1796875" style="115" customWidth="1"/>
    <col min="13062" max="13062" width="21.81640625" style="115" bestFit="1" customWidth="1"/>
    <col min="13063" max="13063" width="17.1796875" style="115" bestFit="1" customWidth="1"/>
    <col min="13064" max="13064" width="18.1796875" style="115" bestFit="1" customWidth="1"/>
    <col min="13065" max="13065" width="26.453125" style="115" customWidth="1"/>
    <col min="13066" max="13310" width="9.1796875" style="115"/>
    <col min="13311" max="13311" width="8.7265625" style="115" bestFit="1" customWidth="1"/>
    <col min="13312" max="13312" width="13.26953125" style="115" customWidth="1"/>
    <col min="13313" max="13313" width="16.1796875" style="115" bestFit="1" customWidth="1"/>
    <col min="13314" max="13314" width="23.54296875" style="115" customWidth="1"/>
    <col min="13315" max="13315" width="17.26953125" style="115" customWidth="1"/>
    <col min="13316" max="13316" width="20.54296875" style="115" bestFit="1" customWidth="1"/>
    <col min="13317" max="13317" width="17.1796875" style="115" customWidth="1"/>
    <col min="13318" max="13318" width="21.81640625" style="115" bestFit="1" customWidth="1"/>
    <col min="13319" max="13319" width="17.1796875" style="115" bestFit="1" customWidth="1"/>
    <col min="13320" max="13320" width="18.1796875" style="115" bestFit="1" customWidth="1"/>
    <col min="13321" max="13321" width="26.453125" style="115" customWidth="1"/>
    <col min="13322" max="13566" width="9.1796875" style="115"/>
    <col min="13567" max="13567" width="8.7265625" style="115" bestFit="1" customWidth="1"/>
    <col min="13568" max="13568" width="13.26953125" style="115" customWidth="1"/>
    <col min="13569" max="13569" width="16.1796875" style="115" bestFit="1" customWidth="1"/>
    <col min="13570" max="13570" width="23.54296875" style="115" customWidth="1"/>
    <col min="13571" max="13571" width="17.26953125" style="115" customWidth="1"/>
    <col min="13572" max="13572" width="20.54296875" style="115" bestFit="1" customWidth="1"/>
    <col min="13573" max="13573" width="17.1796875" style="115" customWidth="1"/>
    <col min="13574" max="13574" width="21.81640625" style="115" bestFit="1" customWidth="1"/>
    <col min="13575" max="13575" width="17.1796875" style="115" bestFit="1" customWidth="1"/>
    <col min="13576" max="13576" width="18.1796875" style="115" bestFit="1" customWidth="1"/>
    <col min="13577" max="13577" width="26.453125" style="115" customWidth="1"/>
    <col min="13578" max="13822" width="9.1796875" style="115"/>
    <col min="13823" max="13823" width="8.7265625" style="115" bestFit="1" customWidth="1"/>
    <col min="13824" max="13824" width="13.26953125" style="115" customWidth="1"/>
    <col min="13825" max="13825" width="16.1796875" style="115" bestFit="1" customWidth="1"/>
    <col min="13826" max="13826" width="23.54296875" style="115" customWidth="1"/>
    <col min="13827" max="13827" width="17.26953125" style="115" customWidth="1"/>
    <col min="13828" max="13828" width="20.54296875" style="115" bestFit="1" customWidth="1"/>
    <col min="13829" max="13829" width="17.1796875" style="115" customWidth="1"/>
    <col min="13830" max="13830" width="21.81640625" style="115" bestFit="1" customWidth="1"/>
    <col min="13831" max="13831" width="17.1796875" style="115" bestFit="1" customWidth="1"/>
    <col min="13832" max="13832" width="18.1796875" style="115" bestFit="1" customWidth="1"/>
    <col min="13833" max="13833" width="26.453125" style="115" customWidth="1"/>
    <col min="13834" max="14078" width="9.1796875" style="115"/>
    <col min="14079" max="14079" width="8.7265625" style="115" bestFit="1" customWidth="1"/>
    <col min="14080" max="14080" width="13.26953125" style="115" customWidth="1"/>
    <col min="14081" max="14081" width="16.1796875" style="115" bestFit="1" customWidth="1"/>
    <col min="14082" max="14082" width="23.54296875" style="115" customWidth="1"/>
    <col min="14083" max="14083" width="17.26953125" style="115" customWidth="1"/>
    <col min="14084" max="14084" width="20.54296875" style="115" bestFit="1" customWidth="1"/>
    <col min="14085" max="14085" width="17.1796875" style="115" customWidth="1"/>
    <col min="14086" max="14086" width="21.81640625" style="115" bestFit="1" customWidth="1"/>
    <col min="14087" max="14087" width="17.1796875" style="115" bestFit="1" customWidth="1"/>
    <col min="14088" max="14088" width="18.1796875" style="115" bestFit="1" customWidth="1"/>
    <col min="14089" max="14089" width="26.453125" style="115" customWidth="1"/>
    <col min="14090" max="14334" width="9.1796875" style="115"/>
    <col min="14335" max="14335" width="8.7265625" style="115" bestFit="1" customWidth="1"/>
    <col min="14336" max="14336" width="13.26953125" style="115" customWidth="1"/>
    <col min="14337" max="14337" width="16.1796875" style="115" bestFit="1" customWidth="1"/>
    <col min="14338" max="14338" width="23.54296875" style="115" customWidth="1"/>
    <col min="14339" max="14339" width="17.26953125" style="115" customWidth="1"/>
    <col min="14340" max="14340" width="20.54296875" style="115" bestFit="1" customWidth="1"/>
    <col min="14341" max="14341" width="17.1796875" style="115" customWidth="1"/>
    <col min="14342" max="14342" width="21.81640625" style="115" bestFit="1" customWidth="1"/>
    <col min="14343" max="14343" width="17.1796875" style="115" bestFit="1" customWidth="1"/>
    <col min="14344" max="14344" width="18.1796875" style="115" bestFit="1" customWidth="1"/>
    <col min="14345" max="14345" width="26.453125" style="115" customWidth="1"/>
    <col min="14346" max="14590" width="9.1796875" style="115"/>
    <col min="14591" max="14591" width="8.7265625" style="115" bestFit="1" customWidth="1"/>
    <col min="14592" max="14592" width="13.26953125" style="115" customWidth="1"/>
    <col min="14593" max="14593" width="16.1796875" style="115" bestFit="1" customWidth="1"/>
    <col min="14594" max="14594" width="23.54296875" style="115" customWidth="1"/>
    <col min="14595" max="14595" width="17.26953125" style="115" customWidth="1"/>
    <col min="14596" max="14596" width="20.54296875" style="115" bestFit="1" customWidth="1"/>
    <col min="14597" max="14597" width="17.1796875" style="115" customWidth="1"/>
    <col min="14598" max="14598" width="21.81640625" style="115" bestFit="1" customWidth="1"/>
    <col min="14599" max="14599" width="17.1796875" style="115" bestFit="1" customWidth="1"/>
    <col min="14600" max="14600" width="18.1796875" style="115" bestFit="1" customWidth="1"/>
    <col min="14601" max="14601" width="26.453125" style="115" customWidth="1"/>
    <col min="14602" max="14846" width="9.1796875" style="115"/>
    <col min="14847" max="14847" width="8.7265625" style="115" bestFit="1" customWidth="1"/>
    <col min="14848" max="14848" width="13.26953125" style="115" customWidth="1"/>
    <col min="14849" max="14849" width="16.1796875" style="115" bestFit="1" customWidth="1"/>
    <col min="14850" max="14850" width="23.54296875" style="115" customWidth="1"/>
    <col min="14851" max="14851" width="17.26953125" style="115" customWidth="1"/>
    <col min="14852" max="14852" width="20.54296875" style="115" bestFit="1" customWidth="1"/>
    <col min="14853" max="14853" width="17.1796875" style="115" customWidth="1"/>
    <col min="14854" max="14854" width="21.81640625" style="115" bestFit="1" customWidth="1"/>
    <col min="14855" max="14855" width="17.1796875" style="115" bestFit="1" customWidth="1"/>
    <col min="14856" max="14856" width="18.1796875" style="115" bestFit="1" customWidth="1"/>
    <col min="14857" max="14857" width="26.453125" style="115" customWidth="1"/>
    <col min="14858" max="15102" width="9.1796875" style="115"/>
    <col min="15103" max="15103" width="8.7265625" style="115" bestFit="1" customWidth="1"/>
    <col min="15104" max="15104" width="13.26953125" style="115" customWidth="1"/>
    <col min="15105" max="15105" width="16.1796875" style="115" bestFit="1" customWidth="1"/>
    <col min="15106" max="15106" width="23.54296875" style="115" customWidth="1"/>
    <col min="15107" max="15107" width="17.26953125" style="115" customWidth="1"/>
    <col min="15108" max="15108" width="20.54296875" style="115" bestFit="1" customWidth="1"/>
    <col min="15109" max="15109" width="17.1796875" style="115" customWidth="1"/>
    <col min="15110" max="15110" width="21.81640625" style="115" bestFit="1" customWidth="1"/>
    <col min="15111" max="15111" width="17.1796875" style="115" bestFit="1" customWidth="1"/>
    <col min="15112" max="15112" width="18.1796875" style="115" bestFit="1" customWidth="1"/>
    <col min="15113" max="15113" width="26.453125" style="115" customWidth="1"/>
    <col min="15114" max="15358" width="9.1796875" style="115"/>
    <col min="15359" max="15359" width="8.7265625" style="115" bestFit="1" customWidth="1"/>
    <col min="15360" max="15360" width="13.26953125" style="115" customWidth="1"/>
    <col min="15361" max="15361" width="16.1796875" style="115" bestFit="1" customWidth="1"/>
    <col min="15362" max="15362" width="23.54296875" style="115" customWidth="1"/>
    <col min="15363" max="15363" width="17.26953125" style="115" customWidth="1"/>
    <col min="15364" max="15364" width="20.54296875" style="115" bestFit="1" customWidth="1"/>
    <col min="15365" max="15365" width="17.1796875" style="115" customWidth="1"/>
    <col min="15366" max="15366" width="21.81640625" style="115" bestFit="1" customWidth="1"/>
    <col min="15367" max="15367" width="17.1796875" style="115" bestFit="1" customWidth="1"/>
    <col min="15368" max="15368" width="18.1796875" style="115" bestFit="1" customWidth="1"/>
    <col min="15369" max="15369" width="26.453125" style="115" customWidth="1"/>
    <col min="15370" max="15614" width="9.1796875" style="115"/>
    <col min="15615" max="15615" width="8.7265625" style="115" bestFit="1" customWidth="1"/>
    <col min="15616" max="15616" width="13.26953125" style="115" customWidth="1"/>
    <col min="15617" max="15617" width="16.1796875" style="115" bestFit="1" customWidth="1"/>
    <col min="15618" max="15618" width="23.54296875" style="115" customWidth="1"/>
    <col min="15619" max="15619" width="17.26953125" style="115" customWidth="1"/>
    <col min="15620" max="15620" width="20.54296875" style="115" bestFit="1" customWidth="1"/>
    <col min="15621" max="15621" width="17.1796875" style="115" customWidth="1"/>
    <col min="15622" max="15622" width="21.81640625" style="115" bestFit="1" customWidth="1"/>
    <col min="15623" max="15623" width="17.1796875" style="115" bestFit="1" customWidth="1"/>
    <col min="15624" max="15624" width="18.1796875" style="115" bestFit="1" customWidth="1"/>
    <col min="15625" max="15625" width="26.453125" style="115" customWidth="1"/>
    <col min="15626" max="15870" width="9.1796875" style="115"/>
    <col min="15871" max="15871" width="8.7265625" style="115" bestFit="1" customWidth="1"/>
    <col min="15872" max="15872" width="13.26953125" style="115" customWidth="1"/>
    <col min="15873" max="15873" width="16.1796875" style="115" bestFit="1" customWidth="1"/>
    <col min="15874" max="15874" width="23.54296875" style="115" customWidth="1"/>
    <col min="15875" max="15875" width="17.26953125" style="115" customWidth="1"/>
    <col min="15876" max="15876" width="20.54296875" style="115" bestFit="1" customWidth="1"/>
    <col min="15877" max="15877" width="17.1796875" style="115" customWidth="1"/>
    <col min="15878" max="15878" width="21.81640625" style="115" bestFit="1" customWidth="1"/>
    <col min="15879" max="15879" width="17.1796875" style="115" bestFit="1" customWidth="1"/>
    <col min="15880" max="15880" width="18.1796875" style="115" bestFit="1" customWidth="1"/>
    <col min="15881" max="15881" width="26.453125" style="115" customWidth="1"/>
    <col min="15882" max="16126" width="9.1796875" style="115"/>
    <col min="16127" max="16127" width="8.7265625" style="115" bestFit="1" customWidth="1"/>
    <col min="16128" max="16128" width="13.26953125" style="115" customWidth="1"/>
    <col min="16129" max="16129" width="16.1796875" style="115" bestFit="1" customWidth="1"/>
    <col min="16130" max="16130" width="23.54296875" style="115" customWidth="1"/>
    <col min="16131" max="16131" width="17.26953125" style="115" customWidth="1"/>
    <col min="16132" max="16132" width="20.54296875" style="115" bestFit="1" customWidth="1"/>
    <col min="16133" max="16133" width="17.1796875" style="115" customWidth="1"/>
    <col min="16134" max="16134" width="21.81640625" style="115" bestFit="1" customWidth="1"/>
    <col min="16135" max="16135" width="17.1796875" style="115" bestFit="1" customWidth="1"/>
    <col min="16136" max="16136" width="18.1796875" style="115" bestFit="1" customWidth="1"/>
    <col min="16137" max="16137" width="26.453125" style="115" customWidth="1"/>
    <col min="16138" max="16384" width="9.1796875" style="115"/>
  </cols>
  <sheetData>
    <row r="1" spans="11:12" s="133" customFormat="1" x14ac:dyDescent="0.25">
      <c r="K1" s="479"/>
      <c r="L1" s="478"/>
    </row>
    <row r="2" spans="11:12" s="133" customFormat="1" x14ac:dyDescent="0.25">
      <c r="K2" s="479"/>
      <c r="L2" s="478"/>
    </row>
    <row r="3" spans="11:12" s="133" customFormat="1" x14ac:dyDescent="0.25">
      <c r="K3" s="479"/>
      <c r="L3" s="478"/>
    </row>
    <row r="4" spans="11:12" s="133" customFormat="1" x14ac:dyDescent="0.25">
      <c r="K4" s="479"/>
      <c r="L4" s="478"/>
    </row>
    <row r="5" spans="11:12" s="133" customFormat="1" x14ac:dyDescent="0.25">
      <c r="K5" s="479"/>
      <c r="L5" s="478"/>
    </row>
    <row r="6" spans="11:12" s="133" customFormat="1" x14ac:dyDescent="0.25">
      <c r="K6" s="479"/>
      <c r="L6" s="478"/>
    </row>
    <row r="7" spans="11:12" s="133" customFormat="1" x14ac:dyDescent="0.25">
      <c r="K7" s="479"/>
      <c r="L7" s="478"/>
    </row>
    <row r="8" spans="11:12" s="133" customFormat="1" x14ac:dyDescent="0.25">
      <c r="K8" s="479"/>
      <c r="L8" s="478"/>
    </row>
    <row r="9" spans="11:12" s="133" customFormat="1" x14ac:dyDescent="0.25">
      <c r="K9" s="479"/>
      <c r="L9" s="478"/>
    </row>
    <row r="10" spans="11:12" s="133" customFormat="1" x14ac:dyDescent="0.25">
      <c r="K10" s="479"/>
      <c r="L10" s="478"/>
    </row>
    <row r="11" spans="11:12" s="133" customFormat="1" x14ac:dyDescent="0.25">
      <c r="K11" s="479"/>
      <c r="L11" s="478"/>
    </row>
    <row r="12" spans="11:12" s="133" customFormat="1" x14ac:dyDescent="0.25">
      <c r="K12" s="479"/>
      <c r="L12" s="478"/>
    </row>
    <row r="13" spans="11:12" s="133" customFormat="1" x14ac:dyDescent="0.25">
      <c r="K13" s="479"/>
      <c r="L13" s="478"/>
    </row>
    <row r="14" spans="11:12" s="133" customFormat="1" x14ac:dyDescent="0.25">
      <c r="K14" s="479"/>
      <c r="L14" s="478"/>
    </row>
    <row r="15" spans="11:12" s="133" customFormat="1" x14ac:dyDescent="0.25">
      <c r="K15" s="479"/>
      <c r="L15" s="478"/>
    </row>
    <row r="16" spans="11:12" s="133" customFormat="1" x14ac:dyDescent="0.25">
      <c r="K16" s="479"/>
      <c r="L16" s="478"/>
    </row>
    <row r="17" spans="1:21" s="133" customFormat="1" x14ac:dyDescent="0.25">
      <c r="K17" s="479"/>
      <c r="L17" s="478"/>
    </row>
    <row r="18" spans="1:21" s="133" customFormat="1" x14ac:dyDescent="0.25">
      <c r="K18" s="479"/>
      <c r="L18" s="478"/>
    </row>
    <row r="19" spans="1:21" s="133" customFormat="1" x14ac:dyDescent="0.25">
      <c r="K19" s="479"/>
      <c r="L19" s="478"/>
    </row>
    <row r="20" spans="1:21" s="133" customFormat="1" x14ac:dyDescent="0.25">
      <c r="K20" s="479"/>
      <c r="L20" s="478"/>
    </row>
    <row r="21" spans="1:21" s="133" customFormat="1" x14ac:dyDescent="0.25">
      <c r="K21" s="479"/>
      <c r="L21" s="478"/>
    </row>
    <row r="22" spans="1:21" s="133" customFormat="1" x14ac:dyDescent="0.25">
      <c r="K22" s="479"/>
      <c r="L22" s="478"/>
    </row>
    <row r="23" spans="1:21" s="133" customFormat="1" x14ac:dyDescent="0.25">
      <c r="K23" s="479"/>
      <c r="L23" s="478"/>
    </row>
    <row r="24" spans="1:21" s="133" customFormat="1" x14ac:dyDescent="0.25">
      <c r="K24" s="479"/>
      <c r="L24" s="478"/>
    </row>
    <row r="25" spans="1:21" s="133" customFormat="1" x14ac:dyDescent="0.25">
      <c r="K25" s="479"/>
      <c r="L25" s="478"/>
      <c r="O25" s="756"/>
      <c r="P25" s="756"/>
      <c r="Q25" s="756"/>
      <c r="R25" s="756"/>
      <c r="S25" s="756"/>
      <c r="T25" s="756"/>
      <c r="U25" s="756"/>
    </row>
    <row r="26" spans="1:21" s="133" customFormat="1" x14ac:dyDescent="0.25">
      <c r="K26" s="479"/>
      <c r="L26" s="478"/>
      <c r="O26" s="756"/>
      <c r="P26" s="756"/>
      <c r="Q26" s="756"/>
      <c r="R26" s="756"/>
      <c r="S26" s="756"/>
      <c r="T26" s="756"/>
      <c r="U26" s="756"/>
    </row>
    <row r="27" spans="1:21" s="133" customFormat="1" x14ac:dyDescent="0.25">
      <c r="K27" s="479"/>
      <c r="L27" s="478"/>
      <c r="O27" s="756"/>
      <c r="P27" s="756"/>
      <c r="Q27" s="756"/>
      <c r="R27" s="756"/>
      <c r="S27" s="756"/>
      <c r="T27" s="756"/>
      <c r="U27" s="756"/>
    </row>
    <row r="28" spans="1:21" s="133" customFormat="1" ht="24.75" customHeight="1" x14ac:dyDescent="0.35">
      <c r="A28" s="502" t="str">
        <f>CHOOSE(MODE, 'Variable Mgmt'!K7,'Variable Mgmt'!K8)</f>
        <v>BIPOLAR Output PSR Flyback Converter, VIN = 32 V, VOUT1 = 16 V, IOUT1 = 0.2 A, VOUT2 = -16 V, IOUT2 = -0.1 A</v>
      </c>
      <c r="K28" s="478"/>
      <c r="L28" s="478"/>
      <c r="O28" s="756"/>
      <c r="P28" s="756"/>
      <c r="Q28" s="756"/>
      <c r="R28" s="756"/>
      <c r="S28" s="756"/>
      <c r="T28" s="756"/>
      <c r="U28" s="756"/>
    </row>
    <row r="29" spans="1:21" ht="24.75" customHeight="1" thickBot="1" x14ac:dyDescent="0.3">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LM5180 High Efficiency PSR Flyback Converter BOM</v>
      </c>
      <c r="O29" s="757"/>
      <c r="P29" s="757"/>
      <c r="Q29" s="757"/>
      <c r="R29" s="757"/>
      <c r="S29" s="757"/>
      <c r="T29" s="757"/>
      <c r="U29" s="757"/>
    </row>
    <row r="30" spans="1:21" ht="18" customHeight="1" x14ac:dyDescent="0.25">
      <c r="A30" s="206" t="s">
        <v>123</v>
      </c>
      <c r="B30" s="207" t="s">
        <v>122</v>
      </c>
      <c r="C30" s="207" t="s">
        <v>6</v>
      </c>
      <c r="D30" s="804" t="s">
        <v>41</v>
      </c>
      <c r="E30" s="805"/>
      <c r="F30" s="806"/>
      <c r="G30" s="207" t="s">
        <v>116</v>
      </c>
      <c r="H30" s="207" t="s">
        <v>67</v>
      </c>
      <c r="I30" s="497" t="s">
        <v>117</v>
      </c>
      <c r="J30" s="498" t="s">
        <v>347</v>
      </c>
      <c r="K30" s="499" t="s">
        <v>356</v>
      </c>
      <c r="L30" s="472"/>
      <c r="N30" s="118"/>
      <c r="O30" s="757"/>
      <c r="P30" s="757"/>
      <c r="Q30" s="758"/>
      <c r="R30" s="757"/>
      <c r="S30" s="757"/>
      <c r="T30" s="757"/>
      <c r="U30" s="757"/>
    </row>
    <row r="31" spans="1:21" s="118" customFormat="1" ht="17.149999999999999" customHeight="1" x14ac:dyDescent="0.25">
      <c r="A31" s="117">
        <f>ROUNDUP('LM(2)518x PSR flyback converter'!E18/10,0)</f>
        <v>1</v>
      </c>
      <c r="B31" s="129" t="s">
        <v>120</v>
      </c>
      <c r="C31" s="132">
        <f>Cin</f>
        <v>10</v>
      </c>
      <c r="D31" s="802" t="str">
        <f>IF(VIN_max&gt;35, "Capacitor, Ceramic, "&amp;'Variable Mgmt'!B226&amp;", 100V, X7R, 10%", "Capacitor, Ceramic, "&amp;'Variable Mgmt'!B226&amp;", 50V, X7R, 10%")</f>
        <v>Capacitor, Ceramic, 10µF, 100V, X7R, 10%</v>
      </c>
      <c r="E31" s="803"/>
      <c r="F31" s="803"/>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49999999999999" customHeight="1" x14ac:dyDescent="0.25">
      <c r="A32" s="117">
        <v>1</v>
      </c>
      <c r="B32" s="129" t="s">
        <v>121</v>
      </c>
      <c r="C32" s="132">
        <f>Cout</f>
        <v>100</v>
      </c>
      <c r="D32" s="818"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25V, X7R, 10%</v>
      </c>
      <c r="E32" s="819"/>
      <c r="F32" s="819"/>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49999999999999" customHeight="1" x14ac:dyDescent="0.25">
      <c r="A33" s="117" t="str">
        <f>CHOOSE(MODE, "-", "1")</f>
        <v>1</v>
      </c>
      <c r="B33" s="129" t="s">
        <v>637</v>
      </c>
      <c r="C33" s="132">
        <f>CHOOSE(MODE, "-", Cout2)</f>
        <v>22</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Capacitor, Ceramic, 22µF, 25V, X7R, 10%</v>
      </c>
      <c r="E33" s="610"/>
      <c r="F33" s="610"/>
      <c r="G33" s="130"/>
      <c r="H33" s="131" t="str">
        <f>CHOOSE(MODE, "-", "Std")</f>
        <v>Std</v>
      </c>
      <c r="I33" s="484" t="str">
        <f>CHOOSE(MODE, "-", "Std")</f>
        <v>Std</v>
      </c>
      <c r="J33" s="493" t="str">
        <f>CHOOSE(MODE, "-", CHOOSE(Q33,'Variable Mgmt'!T64,'Variable Mgmt'!T65,'Variable Mgmt'!T66,'Variable Mgmt'!T67,'Variable Mgmt'!T68))</f>
        <v>3.2 x 2.5</v>
      </c>
      <c r="K33" s="491">
        <f>CHOOSE(MODE, "-", CHOOSE(Q33,'Variable Mgmt'!U64,'Variable Mgmt'!U65,'Variable Mgmt'!U66,'Variable Mgmt'!U67,'Variable Mgmt'!U68))</f>
        <v>8</v>
      </c>
      <c r="L33" s="496"/>
      <c r="O33" s="759"/>
      <c r="P33" s="762"/>
      <c r="Q33" s="764">
        <v>5</v>
      </c>
      <c r="R33" s="759"/>
      <c r="S33" s="759"/>
      <c r="T33" s="759"/>
      <c r="U33" s="759"/>
    </row>
    <row r="34" spans="1:21" s="118" customFormat="1" ht="17.149999999999999" customHeight="1" x14ac:dyDescent="0.25">
      <c r="A34" s="119" t="str">
        <f>CHOOSE(MODE_SS, "1", "-", "1")</f>
        <v>1</v>
      </c>
      <c r="B34" s="120" t="str">
        <f>CHOOSE(MODE_SS, "Css", "-")</f>
        <v>Css</v>
      </c>
      <c r="C34" s="634" t="str">
        <f>CHOOSE(MODE_SS, 'Standard Value Calculator'!B4*1000000000&amp;"nF", "-", "100k")</f>
        <v>47nF</v>
      </c>
      <c r="D34" s="820" t="str">
        <f>CHOOSE(MODE_SS, "Capacitor, Ceramic, "&amp;'Standard Value Calculator'!B4*1000000000&amp;"nF"&amp;", 16V, X7R, 10%", "-")</f>
        <v>Capacitor, Ceramic, 47nF, 16V, X7R, 10%</v>
      </c>
      <c r="E34" s="821"/>
      <c r="F34" s="821"/>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49999999999999" customHeight="1" x14ac:dyDescent="0.25">
      <c r="A35" s="124">
        <v>1</v>
      </c>
      <c r="B35" s="125" t="s">
        <v>639</v>
      </c>
      <c r="C35" s="126" t="s">
        <v>193</v>
      </c>
      <c r="D35" s="811" t="str">
        <f>"Rectifying Diode, Schottky"</f>
        <v>Rectifying Diode, Schottky</v>
      </c>
      <c r="E35" s="812"/>
      <c r="F35" s="812"/>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49999999999999" customHeight="1" x14ac:dyDescent="0.25">
      <c r="A36" s="124" t="str">
        <f>CHOOSE(MODE, "-", "1")</f>
        <v>1</v>
      </c>
      <c r="B36" s="125" t="s">
        <v>638</v>
      </c>
      <c r="C36" s="126" t="str">
        <f>CHOOSE(MODE, "-", "Diode")</f>
        <v>Diode</v>
      </c>
      <c r="D36" s="809" t="str">
        <f>CHOOSE(MODE, "-", "Rectifying Diode, Schottky")</f>
        <v>Rectifying Diode, Schottky</v>
      </c>
      <c r="E36" s="810"/>
      <c r="F36" s="810"/>
      <c r="G36" s="127" t="s">
        <v>119</v>
      </c>
      <c r="H36" s="128" t="str">
        <f>CHOOSE(MODE, "-", "Std")</f>
        <v>Std</v>
      </c>
      <c r="I36" s="486" t="str">
        <f>CHOOSE(MODE, "-", "Std")</f>
        <v>Std</v>
      </c>
      <c r="J36" s="628" t="str">
        <f>CHOOSE(MODE, "-", CHOOSE(Q36,'Variable Mgmt'!Y73,'Variable Mgmt'!Y74,'Variable Mgmt'!Y75,'Variable Mgmt'!Y76))</f>
        <v>3.6 x 1.8</v>
      </c>
      <c r="K36" s="629">
        <f>CHOOSE(MODE, "-", CHOOSE(Q36,'Variable Mgmt'!Z73,'Variable Mgmt'!Z74,'Variable Mgmt'!Z75,'Variable Mgmt'!Z76))</f>
        <v>6.5</v>
      </c>
      <c r="L36" s="496"/>
      <c r="O36" s="759"/>
      <c r="P36" s="762"/>
      <c r="Q36" s="764">
        <v>3</v>
      </c>
      <c r="R36" s="759"/>
      <c r="S36" s="759"/>
      <c r="T36" s="759"/>
      <c r="U36" s="759"/>
    </row>
    <row r="37" spans="1:21" s="118" customFormat="1" ht="17.149999999999999" customHeight="1" x14ac:dyDescent="0.25">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49999999999999" customHeight="1" x14ac:dyDescent="0.25">
      <c r="A38" s="124">
        <v>1</v>
      </c>
      <c r="B38" s="125" t="s">
        <v>636</v>
      </c>
      <c r="C38" s="126" t="str">
        <f>Vout*Nps*1.3&amp;"V"</f>
        <v>24.96V</v>
      </c>
      <c r="D38" s="809" t="str">
        <f>"Clamp Circuit Diode, Zener, "&amp;ROUND(Vout*Nps*13,0)/10&amp;"V"</f>
        <v>Clamp Circuit Diode, Zener, 25V</v>
      </c>
      <c r="E38" s="810"/>
      <c r="F38" s="810"/>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49999999999999" customHeight="1" x14ac:dyDescent="0.25">
      <c r="A39" s="124">
        <v>1</v>
      </c>
      <c r="B39" s="125" t="s">
        <v>648</v>
      </c>
      <c r="C39" s="126" t="str">
        <f>Vout*1.1&amp;"V"</f>
        <v>17.6V</v>
      </c>
      <c r="D39" s="632" t="str">
        <f>"Output Clamp Diode, Zener, "&amp;(ROUND(Vout*11.25,0)/10)&amp;"V"</f>
        <v>Output Clamp Diode, Zener, 18V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49999999999999" customHeight="1" x14ac:dyDescent="0.25">
      <c r="A40" s="119">
        <v>1</v>
      </c>
      <c r="B40" s="120" t="s">
        <v>641</v>
      </c>
      <c r="C40" s="121">
        <v>12.1</v>
      </c>
      <c r="D40" s="807">
        <f t="shared" ref="D40" si="0">C40</f>
        <v>12.1</v>
      </c>
      <c r="E40" s="808"/>
      <c r="F40" s="808"/>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49999999999999" customHeight="1" x14ac:dyDescent="0.25">
      <c r="A41" s="119">
        <v>1</v>
      </c>
      <c r="B41" s="120" t="s">
        <v>536</v>
      </c>
      <c r="C41" s="121">
        <f>Rfb/1000</f>
        <v>196</v>
      </c>
      <c r="D41" s="807">
        <f>C41</f>
        <v>196</v>
      </c>
      <c r="E41" s="808"/>
      <c r="F41" s="808"/>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49999999999999" customHeight="1" x14ac:dyDescent="0.25">
      <c r="A42" s="119" t="str">
        <f>CHOOSE(MODE_UVLO, "1", "-")</f>
        <v>1</v>
      </c>
      <c r="B42" s="120" t="s">
        <v>126</v>
      </c>
      <c r="C42" s="464" t="str">
        <f>CHOOSE(MODE_UVLO, 'Variable Mgmt'!H245, "-")</f>
        <v>332k</v>
      </c>
      <c r="D42" s="816" t="str">
        <f>CHOOSE(MODE_UVLO, "Resistor, Chip, "&amp;'Variable Mgmt'!C245&amp;", 1/16W, 1%", "-")</f>
        <v>Resistor, Chip, 332kΩ, 1/16W, 1%</v>
      </c>
      <c r="E42" s="817"/>
      <c r="F42" s="817"/>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49999999999999" customHeight="1" x14ac:dyDescent="0.25">
      <c r="A43" s="119" t="str">
        <f>CHOOSE(MODE_UVLO, "1", "-")</f>
        <v>1</v>
      </c>
      <c r="B43" s="120" t="s">
        <v>127</v>
      </c>
      <c r="C43" s="464" t="str">
        <f>CHOOSE(MODE_UVLO, 'Variable Mgmt'!H246, "-")</f>
        <v>59k</v>
      </c>
      <c r="D43" s="816" t="str">
        <f>CHOOSE(MODE_UVLO, "Resistor, Chip, "&amp;'Variable Mgmt'!C246&amp;", 1/16W, 1%", "-")</f>
        <v>Resistor, Chip, 59kΩ, 1/16W, 1%</v>
      </c>
      <c r="E43" s="817"/>
      <c r="F43" s="817"/>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49999999999999" customHeight="1" x14ac:dyDescent="0.25">
      <c r="A44" s="119" t="str">
        <f>CHOOSE(MODE_TC, "1", "-")</f>
        <v>1</v>
      </c>
      <c r="B44" s="120" t="s">
        <v>527</v>
      </c>
      <c r="C44" s="121">
        <f>CHOOSE(MODE_TC, RTC, "-")</f>
        <v>324</v>
      </c>
      <c r="D44" s="807" t="str">
        <f>CHOOSE(MODE_TC, "Resistor, Chip, "&amp;'Variable Mgmt'!B241&amp;", 1/16W, 1%", "-")</f>
        <v>Resistor, Chip, 324kΩ, 1/16W, 1%</v>
      </c>
      <c r="E44" s="808"/>
      <c r="F44" s="808"/>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5">
      <c r="A45" s="124">
        <v>1</v>
      </c>
      <c r="B45" s="125" t="s">
        <v>535</v>
      </c>
      <c r="C45" s="627">
        <f>'LM(2)518x PSR flyback converter'!L7</f>
        <v>30</v>
      </c>
      <c r="D45" s="813" t="str">
        <f>"Transformer, "&amp;L*1000000&amp;"µH, "&amp;'Variable Mgmt'!W52&amp;", "&amp;Rdcr_pri*1000&amp;"mΩ Pri DCR, "&amp;Isat&amp;"A Isat"</f>
        <v>Transformer, 30µH, 1.2 : 1 : 1, 100mΩ Pri DCR, 2A Isat</v>
      </c>
      <c r="E45" s="814"/>
      <c r="F45" s="815"/>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49999999999999" customHeight="1" x14ac:dyDescent="0.25">
      <c r="A46" s="468">
        <v>1</v>
      </c>
      <c r="B46" s="474" t="s">
        <v>128</v>
      </c>
      <c r="C46" s="495" t="str">
        <f>CHOOSE(VARIANT, "LM5180", "LM5181", "LM25180", "LM25183", "LM25184")</f>
        <v>LM5180</v>
      </c>
      <c r="D46" s="475" t="str">
        <f>CHOOSE(VARIANT, "IC, LM5180, PSR Flyback Converter, 4.5V–65V Input", "IC, LM5181, PSR Flyback Converter, 4.5V–65V Input", "IC, LM25180, PSR Flyback Converter, 4.5V–42V Input", "IC, LM25183, PSR Flyback Converter, 4.5V–42V Input", "IC, LM25184, PSR Flyback Converter, 4.5V–42V Input")</f>
        <v>IC, LM5180, PSR Flyback Converter, 4.5V–65V Input</v>
      </c>
      <c r="E46" s="476"/>
      <c r="F46" s="477"/>
      <c r="G46" s="473" t="s">
        <v>534</v>
      </c>
      <c r="H46" s="473" t="str">
        <f>CHOOSE(VARIANT, "LM5180NGUR", "LM5181NGUR", "LM25180NGUR", "LM25183NGUR", "LM25184NGUR")</f>
        <v>LM5180NGUR</v>
      </c>
      <c r="I46" s="475" t="s">
        <v>357</v>
      </c>
      <c r="J46" s="494" t="s">
        <v>355</v>
      </c>
      <c r="K46" s="492">
        <v>16</v>
      </c>
      <c r="L46" s="472"/>
      <c r="M46" s="472"/>
      <c r="N46" s="118"/>
      <c r="Q46" s="503"/>
    </row>
    <row r="47" spans="1:21" ht="17.149999999999999" customHeight="1" x14ac:dyDescent="0.25">
      <c r="J47" s="118"/>
      <c r="K47" s="482"/>
      <c r="L47" s="472"/>
      <c r="M47" s="472"/>
      <c r="N47" s="118"/>
    </row>
    <row r="48" spans="1:21" ht="17.25" customHeight="1" x14ac:dyDescent="0.35">
      <c r="H48" s="801" t="s">
        <v>359</v>
      </c>
      <c r="I48" s="801"/>
      <c r="J48" s="801"/>
      <c r="K48" s="500">
        <f>SUM(K31:K46)*1.25</f>
        <v>220.375</v>
      </c>
      <c r="L48" s="504" t="s">
        <v>360</v>
      </c>
      <c r="M48" s="501">
        <f>K48/25.4/25.4</f>
        <v>0.34158193316386637</v>
      </c>
      <c r="N48" s="504" t="s">
        <v>358</v>
      </c>
    </row>
    <row r="49" spans="1:14" ht="17.149999999999999" customHeight="1" x14ac:dyDescent="0.3">
      <c r="J49" s="487"/>
      <c r="K49" s="488"/>
      <c r="L49" s="489"/>
      <c r="M49" s="490"/>
      <c r="N49" s="489"/>
    </row>
    <row r="50" spans="1:14" ht="20.25" customHeight="1" x14ac:dyDescent="0.25">
      <c r="A50" s="481" t="s">
        <v>137</v>
      </c>
    </row>
    <row r="51" spans="1:14" x14ac:dyDescent="0.25">
      <c r="A51" s="115" t="s">
        <v>819</v>
      </c>
    </row>
    <row r="52" spans="1:14" x14ac:dyDescent="0.25">
      <c r="A52" s="115" t="s">
        <v>820</v>
      </c>
      <c r="K52" s="480"/>
    </row>
    <row r="53" spans="1:14" x14ac:dyDescent="0.25">
      <c r="A53" s="115" t="s">
        <v>821</v>
      </c>
    </row>
    <row r="54" spans="1:14" x14ac:dyDescent="0.25">
      <c r="A54" s="115" t="s">
        <v>822</v>
      </c>
    </row>
    <row r="55" spans="1:14" x14ac:dyDescent="0.25">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12700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12700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12700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12700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796875" defaultRowHeight="12.5" x14ac:dyDescent="0.25"/>
  <cols>
    <col min="1" max="13" width="9.1796875" style="85"/>
    <col min="14" max="14" width="11.81640625" style="85" customWidth="1"/>
    <col min="15" max="16" width="9.1796875" style="85"/>
    <col min="17" max="17" width="15.7265625" style="85" customWidth="1"/>
    <col min="18" max="16384" width="9.1796875" style="85"/>
  </cols>
  <sheetData>
    <row r="1" spans="1:25" s="76" customFormat="1" ht="47.25" customHeight="1" x14ac:dyDescent="0.3">
      <c r="A1" s="822" t="s">
        <v>817</v>
      </c>
      <c r="B1" s="823"/>
      <c r="C1" s="823"/>
      <c r="D1" s="823"/>
      <c r="E1" s="823"/>
      <c r="F1" s="823"/>
      <c r="G1" s="823"/>
      <c r="H1" s="823"/>
      <c r="I1" s="823"/>
      <c r="J1" s="823"/>
      <c r="K1" s="823"/>
      <c r="L1" s="823"/>
      <c r="M1" s="823"/>
      <c r="N1" s="823"/>
      <c r="O1" s="823"/>
      <c r="P1" s="823"/>
      <c r="Q1" s="823"/>
      <c r="R1" s="83"/>
    </row>
    <row r="6" spans="1:25" ht="20" x14ac:dyDescent="0.4">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3" x14ac:dyDescent="0.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11.8164062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6" max="26" width="7.81640625" customWidth="1"/>
  </cols>
  <sheetData>
    <row r="1" spans="1:18" ht="30.75" customHeight="1" x14ac:dyDescent="0.6">
      <c r="A1" s="825" t="s">
        <v>171</v>
      </c>
      <c r="B1" s="825"/>
      <c r="C1" s="825"/>
      <c r="D1" s="825"/>
      <c r="E1" s="825"/>
      <c r="F1" s="825"/>
      <c r="G1" s="825"/>
      <c r="H1" s="825"/>
      <c r="I1" s="825"/>
    </row>
    <row r="2" spans="1:18" ht="12" customHeight="1" x14ac:dyDescent="0.3">
      <c r="A2" s="19"/>
      <c r="B2" s="19" t="s">
        <v>81</v>
      </c>
      <c r="C2" s="20"/>
      <c r="E2" s="19"/>
      <c r="F2" s="19"/>
      <c r="G2" s="19"/>
      <c r="H2" s="19"/>
      <c r="I2" s="19"/>
    </row>
    <row r="3" spans="1:18" ht="11.25" customHeight="1" x14ac:dyDescent="0.3">
      <c r="A3" s="19"/>
      <c r="B3" s="19" t="s">
        <v>100</v>
      </c>
      <c r="C3" s="21"/>
      <c r="E3" s="19"/>
      <c r="F3" s="19"/>
      <c r="G3" s="19"/>
      <c r="H3" s="19"/>
      <c r="I3" s="19"/>
    </row>
    <row r="4" spans="1:18" ht="11.25" customHeight="1" x14ac:dyDescent="0.3">
      <c r="A4" s="19"/>
      <c r="B4" s="19" t="s">
        <v>82</v>
      </c>
      <c r="C4" s="22"/>
      <c r="E4" s="19"/>
      <c r="F4" s="19"/>
      <c r="G4" s="19"/>
      <c r="H4" s="19"/>
      <c r="I4" s="19"/>
    </row>
    <row r="5" spans="1:18" x14ac:dyDescent="0.3">
      <c r="A5" s="3" t="s">
        <v>19</v>
      </c>
      <c r="B5" s="3" t="s">
        <v>6</v>
      </c>
      <c r="C5" s="3" t="s">
        <v>7</v>
      </c>
      <c r="E5" s="824" t="s">
        <v>9</v>
      </c>
      <c r="F5" s="824"/>
      <c r="G5" s="824"/>
      <c r="H5" s="824"/>
      <c r="I5" s="3" t="s">
        <v>173</v>
      </c>
    </row>
    <row r="6" spans="1:18" ht="16" thickBot="1" x14ac:dyDescent="0.4">
      <c r="A6" s="51" t="s">
        <v>61</v>
      </c>
      <c r="B6" s="40"/>
      <c r="C6" s="40"/>
      <c r="D6" s="40"/>
      <c r="E6" s="52"/>
      <c r="F6" s="52"/>
      <c r="G6" s="52"/>
      <c r="H6" s="52"/>
      <c r="I6" s="40"/>
    </row>
    <row r="7" spans="1:18" ht="12.5" x14ac:dyDescent="0.25">
      <c r="A7" s="110" t="s">
        <v>145</v>
      </c>
      <c r="B7" s="9">
        <f>'LM(2)518x PSR flyback converter'!E6</f>
        <v>12</v>
      </c>
      <c r="C7" s="31" t="s">
        <v>0</v>
      </c>
      <c r="D7" s="80" t="s">
        <v>146</v>
      </c>
      <c r="E7" s="31"/>
      <c r="F7" s="31"/>
      <c r="G7" s="31"/>
      <c r="H7" s="31"/>
      <c r="I7" s="32">
        <v>1</v>
      </c>
      <c r="K7" t="str">
        <f>'Variable Mgmt'!B59&amp;" Output PSR Flyback Converter, "&amp;"VIN = "&amp;Vin&amp;" V, VOUT = "&amp;Vout&amp;" V, IOUT = "&amp;Iout&amp;" A"</f>
        <v>BIPOLAR Output PSR Flyback Converter, VIN = 32 V, VOUT = 16 V, IOUT = 0.2 A</v>
      </c>
    </row>
    <row r="8" spans="1:18" x14ac:dyDescent="0.3">
      <c r="A8" s="111" t="s">
        <v>143</v>
      </c>
      <c r="B8" s="10">
        <f>'LM(2)518x PSR flyback converter'!E7</f>
        <v>32</v>
      </c>
      <c r="C8" s="7" t="s">
        <v>0</v>
      </c>
      <c r="D8" s="7" t="s">
        <v>10</v>
      </c>
      <c r="F8" s="587"/>
      <c r="G8" s="7"/>
      <c r="H8" s="78"/>
      <c r="I8" s="25"/>
      <c r="K8" t="str">
        <f>'Variable Mgmt'!B59&amp;" Output PSR Flyback Converter, "&amp;"VIN = "&amp;Vin&amp;" V, VOUT1 = "&amp;Vout&amp;" V, IOUT1 = "&amp;Iout&amp;" A"&amp;", VOUT2 = "&amp;Vout2_actual&amp;" V, IOUT2 = "&amp;Iout2_actual&amp;" A"</f>
        <v>BIPOLAR Output PSR Flyback Converter, VIN = 32 V, VOUT1 = 16 V, IOUT1 = 0.2 A, VOUT2 = -16 V, IOUT2 = -0.1 A</v>
      </c>
    </row>
    <row r="9" spans="1:18" x14ac:dyDescent="0.3">
      <c r="A9" s="111" t="s">
        <v>144</v>
      </c>
      <c r="B9" s="10">
        <f>'LM(2)518x PSR flyback converter'!E8</f>
        <v>48</v>
      </c>
      <c r="C9" s="7" t="s">
        <v>0</v>
      </c>
      <c r="D9" s="78" t="s">
        <v>147</v>
      </c>
      <c r="F9" s="587"/>
      <c r="G9" s="7"/>
      <c r="H9" s="7"/>
      <c r="I9" s="25"/>
    </row>
    <row r="10" spans="1:18" x14ac:dyDescent="0.3">
      <c r="A10" s="111"/>
      <c r="B10" s="209"/>
      <c r="C10" s="61"/>
      <c r="D10" s="78"/>
      <c r="F10" s="7"/>
      <c r="G10" s="7"/>
      <c r="H10" s="7"/>
      <c r="I10" s="25"/>
      <c r="P10" s="159" t="s">
        <v>790</v>
      </c>
      <c r="Q10" s="165">
        <v>1</v>
      </c>
    </row>
    <row r="11" spans="1:18" x14ac:dyDescent="0.3">
      <c r="A11" s="24" t="s">
        <v>4</v>
      </c>
      <c r="B11" s="10">
        <f>'LM(2)518x PSR flyback converter'!E10</f>
        <v>16</v>
      </c>
      <c r="C11" s="7" t="s">
        <v>0</v>
      </c>
      <c r="D11" s="78" t="s">
        <v>576</v>
      </c>
      <c r="F11" s="7"/>
      <c r="G11" s="7">
        <f>(Vout+Vfwd1)*Nps</f>
        <v>19.584</v>
      </c>
      <c r="H11" s="7"/>
      <c r="I11" s="25">
        <v>1</v>
      </c>
      <c r="P11" s="159" t="s">
        <v>801</v>
      </c>
      <c r="Q11" s="165">
        <v>2</v>
      </c>
    </row>
    <row r="12" spans="1:18" x14ac:dyDescent="0.3">
      <c r="A12" s="24" t="s">
        <v>5</v>
      </c>
      <c r="B12" s="583">
        <f>'LM(2)518x PSR flyback converter'!E11</f>
        <v>0.2</v>
      </c>
      <c r="C12" s="78" t="s">
        <v>1</v>
      </c>
      <c r="D12" s="78" t="s">
        <v>663</v>
      </c>
      <c r="F12" s="7"/>
      <c r="G12" s="7"/>
      <c r="H12" s="7"/>
      <c r="I12" s="25">
        <v>1</v>
      </c>
      <c r="L12" s="77"/>
      <c r="P12" s="399" t="s">
        <v>791</v>
      </c>
      <c r="Q12" s="587">
        <v>3</v>
      </c>
    </row>
    <row r="13" spans="1:18" x14ac:dyDescent="0.3">
      <c r="A13" s="111" t="s">
        <v>168</v>
      </c>
      <c r="B13" s="158">
        <f>Vout/Iout</f>
        <v>80</v>
      </c>
      <c r="C13" s="114" t="s">
        <v>45</v>
      </c>
      <c r="D13" s="112" t="s">
        <v>169</v>
      </c>
      <c r="F13" s="7"/>
      <c r="G13" s="7"/>
      <c r="H13" s="7"/>
      <c r="I13" s="25"/>
      <c r="P13" s="399" t="s">
        <v>802</v>
      </c>
      <c r="Q13" s="587">
        <v>4</v>
      </c>
    </row>
    <row r="14" spans="1:18" x14ac:dyDescent="0.3">
      <c r="A14" s="111" t="s">
        <v>152</v>
      </c>
      <c r="B14" s="582">
        <f>Vout*Iout</f>
        <v>3.2</v>
      </c>
      <c r="C14" s="61" t="s">
        <v>45</v>
      </c>
      <c r="D14" s="112" t="s">
        <v>158</v>
      </c>
      <c r="F14" s="7"/>
      <c r="G14" s="7"/>
      <c r="H14" s="7"/>
      <c r="I14" s="25"/>
      <c r="L14" s="77"/>
      <c r="P14" s="399" t="s">
        <v>803</v>
      </c>
      <c r="Q14" s="587">
        <v>5</v>
      </c>
    </row>
    <row r="15" spans="1:18" x14ac:dyDescent="0.3">
      <c r="B15" s="376"/>
      <c r="C15" s="61"/>
      <c r="D15" s="112"/>
      <c r="F15" s="7"/>
      <c r="G15" s="7"/>
      <c r="H15" s="7"/>
      <c r="I15" s="25"/>
      <c r="L15" s="77"/>
      <c r="O15" s="378" t="s">
        <v>789</v>
      </c>
      <c r="P15" s="162" t="str">
        <f>CHOOSE(VARIANT, "LM5180", "LM5181", "LM25180", "LM25183", "LM25184")</f>
        <v>LM5180</v>
      </c>
      <c r="Q15" s="378">
        <v>1</v>
      </c>
      <c r="R15" s="5"/>
    </row>
    <row r="16" spans="1:18" x14ac:dyDescent="0.3">
      <c r="A16" s="111" t="s">
        <v>621</v>
      </c>
      <c r="B16" s="584">
        <f>ABS('LM(2)518x PSR flyback converter'!E12)</f>
        <v>16</v>
      </c>
      <c r="C16" s="7" t="s">
        <v>0</v>
      </c>
      <c r="D16" s="78" t="s">
        <v>578</v>
      </c>
      <c r="F16" s="7"/>
      <c r="G16" s="7"/>
      <c r="H16" s="7"/>
      <c r="I16" s="25"/>
      <c r="L16" s="77"/>
      <c r="O16" s="467" t="s">
        <v>792</v>
      </c>
      <c r="P16" s="743">
        <f>CHOOSE(VARIANT, 65, 65, 42, 42, 42)</f>
        <v>65</v>
      </c>
      <c r="Q16" t="s">
        <v>0</v>
      </c>
    </row>
    <row r="17" spans="1:23" x14ac:dyDescent="0.3">
      <c r="A17" s="111" t="s">
        <v>622</v>
      </c>
      <c r="B17" s="625">
        <f>'LM(2)518x PSR flyback converter'!E12</f>
        <v>-16</v>
      </c>
      <c r="C17" s="61" t="s">
        <v>0</v>
      </c>
      <c r="D17" s="78"/>
      <c r="F17" s="7"/>
      <c r="G17" s="7"/>
      <c r="H17" s="7"/>
      <c r="I17" s="25"/>
      <c r="L17" s="77"/>
      <c r="O17" s="449" t="s">
        <v>851</v>
      </c>
      <c r="P17">
        <f>CHOOSE(VARIANT, 100, 100, 70, 70, 70)</f>
        <v>100</v>
      </c>
      <c r="Q17" s="77" t="s">
        <v>0</v>
      </c>
    </row>
    <row r="18" spans="1:23" ht="12.5" x14ac:dyDescent="0.25">
      <c r="A18" s="111" t="s">
        <v>508</v>
      </c>
      <c r="B18" s="584">
        <f>ABS('LM(2)518x PSR flyback converter'!E13)</f>
        <v>0.1</v>
      </c>
      <c r="C18" s="78" t="s">
        <v>1</v>
      </c>
      <c r="D18" s="78" t="s">
        <v>577</v>
      </c>
      <c r="F18" s="7"/>
      <c r="G18" s="7"/>
      <c r="H18" s="7"/>
      <c r="I18" s="25"/>
      <c r="L18" s="77"/>
    </row>
    <row r="19" spans="1:23" x14ac:dyDescent="0.3">
      <c r="A19" s="112" t="s">
        <v>662</v>
      </c>
      <c r="B19">
        <f>Iout2*SIGN(Vout2_actual)</f>
        <v>-0.1</v>
      </c>
      <c r="C19" s="77" t="s">
        <v>1</v>
      </c>
      <c r="F19" s="7"/>
      <c r="G19" s="7"/>
      <c r="H19" s="7"/>
      <c r="I19" s="25"/>
      <c r="L19" s="77"/>
      <c r="P19" s="3" t="s">
        <v>784</v>
      </c>
    </row>
    <row r="20" spans="1:23" x14ac:dyDescent="0.3">
      <c r="A20" s="111" t="s">
        <v>509</v>
      </c>
      <c r="B20" s="582">
        <f>ABS(Vout2/Iout2)</f>
        <v>160</v>
      </c>
      <c r="C20" s="114" t="s">
        <v>45</v>
      </c>
      <c r="D20" s="112" t="s">
        <v>511</v>
      </c>
      <c r="F20" s="7"/>
      <c r="G20" s="7"/>
      <c r="H20" s="7"/>
      <c r="I20" s="25"/>
      <c r="K20" s="77" t="s">
        <v>542</v>
      </c>
      <c r="L20" s="77" t="s">
        <v>543</v>
      </c>
      <c r="P20" s="3" t="s">
        <v>783</v>
      </c>
      <c r="Q20">
        <v>1</v>
      </c>
    </row>
    <row r="21" spans="1:23" x14ac:dyDescent="0.3">
      <c r="A21" s="111" t="s">
        <v>510</v>
      </c>
      <c r="B21" s="582">
        <f>ABS(Vout2*Iout2)</f>
        <v>1.6</v>
      </c>
      <c r="C21" s="61" t="s">
        <v>45</v>
      </c>
      <c r="D21" s="112" t="s">
        <v>512</v>
      </c>
      <c r="F21" s="7"/>
      <c r="G21" s="7"/>
      <c r="H21" s="7"/>
      <c r="I21" s="25"/>
      <c r="K21">
        <v>5</v>
      </c>
      <c r="L21" s="77">
        <v>-5</v>
      </c>
      <c r="P21" s="3" t="s">
        <v>782</v>
      </c>
      <c r="Q21">
        <v>2</v>
      </c>
    </row>
    <row r="22" spans="1:23" x14ac:dyDescent="0.3">
      <c r="A22" s="111" t="s">
        <v>513</v>
      </c>
      <c r="B22" s="582">
        <f>CHOOSE(MODE, Pout, Pout + Pout2)</f>
        <v>4.8000000000000007</v>
      </c>
      <c r="C22" s="61" t="s">
        <v>45</v>
      </c>
      <c r="D22" s="112" t="s">
        <v>514</v>
      </c>
      <c r="F22" s="7"/>
      <c r="G22" s="7"/>
      <c r="H22" s="7"/>
      <c r="I22" s="25"/>
      <c r="K22">
        <v>0.2</v>
      </c>
      <c r="L22" s="77">
        <v>0.2</v>
      </c>
      <c r="Q22" s="3">
        <v>2</v>
      </c>
    </row>
    <row r="23" spans="1:23" ht="12.5" x14ac:dyDescent="0.25">
      <c r="A23" s="111"/>
      <c r="B23" s="376"/>
      <c r="C23" s="61"/>
      <c r="D23" s="112"/>
      <c r="F23" s="7"/>
      <c r="G23" s="7"/>
      <c r="H23" s="7"/>
      <c r="I23" s="25"/>
      <c r="L23" s="77"/>
    </row>
    <row r="24" spans="1:23" x14ac:dyDescent="0.3">
      <c r="A24" s="34" t="str">
        <f>CHOOSE(MODE, "Turns Ratio, PRI : SEC", "Turns Ratio, PRI : SEC1")</f>
        <v>Turns Ratio, PRI : SEC1</v>
      </c>
      <c r="B24" s="566" t="str">
        <f>Nps</f>
        <v>1.2</v>
      </c>
      <c r="C24" s="61"/>
      <c r="D24" s="112" t="str">
        <f>CHOOSE(MODE, "TR primary-secondary (single output) = Np/Ns", "TR primary-secondary1 (dual output) = Np/Nsec1")</f>
        <v>TR primary-secondary1 (dual output) = Np/Nsec1</v>
      </c>
      <c r="F24" s="7"/>
      <c r="G24" s="7"/>
      <c r="H24" s="7"/>
      <c r="I24" s="25"/>
      <c r="L24" s="77"/>
    </row>
    <row r="25" spans="1:23" x14ac:dyDescent="0.3">
      <c r="A25" s="34" t="s">
        <v>590</v>
      </c>
      <c r="B25" s="177">
        <f>Npri_sec2</f>
        <v>1.2</v>
      </c>
      <c r="D25" s="112" t="s">
        <v>591</v>
      </c>
      <c r="F25" s="7"/>
      <c r="G25" s="7"/>
      <c r="H25" s="7"/>
      <c r="I25" s="25"/>
      <c r="L25" s="77"/>
    </row>
    <row r="26" spans="1:23" x14ac:dyDescent="0.3">
      <c r="A26" s="34" t="s">
        <v>603</v>
      </c>
      <c r="B26" s="624">
        <f>Nsec1sec2</f>
        <v>1</v>
      </c>
      <c r="D26" s="77" t="s">
        <v>592</v>
      </c>
      <c r="F26" s="7"/>
      <c r="G26" s="7"/>
      <c r="H26" s="7"/>
      <c r="I26" s="25"/>
      <c r="L26" s="77"/>
      <c r="R26" s="162" t="s">
        <v>396</v>
      </c>
      <c r="V26" s="162" t="s">
        <v>396</v>
      </c>
    </row>
    <row r="27" spans="1:23" x14ac:dyDescent="0.3">
      <c r="H27" s="7"/>
      <c r="I27" s="25"/>
      <c r="K27" s="162" t="s">
        <v>541</v>
      </c>
      <c r="R27" s="162" t="s">
        <v>585</v>
      </c>
      <c r="V27" s="162" t="s">
        <v>586</v>
      </c>
    </row>
    <row r="28" spans="1:23" ht="12.5" x14ac:dyDescent="0.25">
      <c r="A28" s="77" t="s">
        <v>623</v>
      </c>
      <c r="B28" s="469">
        <f>Vout+VIN_max/Nps</f>
        <v>56</v>
      </c>
      <c r="C28" s="77" t="s">
        <v>0</v>
      </c>
      <c r="G28" s="7"/>
      <c r="H28" s="7"/>
      <c r="I28" s="25"/>
      <c r="K28" s="77" t="s">
        <v>538</v>
      </c>
      <c r="L28">
        <v>1</v>
      </c>
      <c r="R28" t="str">
        <f>"5 : 1"</f>
        <v>5 : 1</v>
      </c>
      <c r="S28">
        <v>1</v>
      </c>
      <c r="V28" t="str">
        <f>"5 : 1"</f>
        <v>5 : 1</v>
      </c>
      <c r="W28">
        <v>1</v>
      </c>
    </row>
    <row r="29" spans="1:23" x14ac:dyDescent="0.3">
      <c r="F29" s="7"/>
      <c r="G29" s="7"/>
      <c r="H29" s="7"/>
      <c r="I29" s="25"/>
      <c r="K29" s="77" t="s">
        <v>539</v>
      </c>
      <c r="L29">
        <v>2</v>
      </c>
      <c r="R29" t="str">
        <f>"4 : 1"</f>
        <v>4 : 1</v>
      </c>
      <c r="S29">
        <v>2</v>
      </c>
      <c r="V29" t="str">
        <f>"4 : 1"</f>
        <v>4 : 1</v>
      </c>
      <c r="W29">
        <v>2</v>
      </c>
    </row>
    <row r="30" spans="1:23" ht="12.5" x14ac:dyDescent="0.25">
      <c r="A30" s="111" t="s">
        <v>443</v>
      </c>
      <c r="B30" s="375">
        <f>1%*Vout*1000</f>
        <v>160</v>
      </c>
      <c r="C30" s="61" t="s">
        <v>149</v>
      </c>
      <c r="D30" s="112" t="s">
        <v>461</v>
      </c>
      <c r="F30" s="7"/>
      <c r="G30" s="7"/>
      <c r="H30" s="7"/>
      <c r="I30" s="25"/>
      <c r="K30" s="77" t="s">
        <v>540</v>
      </c>
      <c r="L30">
        <v>3</v>
      </c>
      <c r="R30" t="str">
        <f>"3 : 1"</f>
        <v>3 : 1</v>
      </c>
      <c r="S30">
        <v>3</v>
      </c>
      <c r="V30" t="str">
        <f>"3 : 1"</f>
        <v>3 : 1</v>
      </c>
      <c r="W30">
        <v>3</v>
      </c>
    </row>
    <row r="31" spans="1:23" ht="12.5" x14ac:dyDescent="0.25">
      <c r="A31" s="111"/>
      <c r="B31" s="375"/>
      <c r="C31" s="61"/>
      <c r="D31" s="112"/>
      <c r="F31" s="7"/>
      <c r="G31" s="7"/>
      <c r="H31" s="7"/>
      <c r="I31" s="25"/>
      <c r="K31" s="77"/>
      <c r="R31" t="str">
        <f>"2.5 : 1"</f>
        <v>2.5 : 1</v>
      </c>
      <c r="S31">
        <v>4</v>
      </c>
      <c r="V31" t="str">
        <f>"2.5 : 1"</f>
        <v>2.5 : 1</v>
      </c>
      <c r="W31">
        <v>4</v>
      </c>
    </row>
    <row r="32" spans="1:23" ht="12.5" x14ac:dyDescent="0.25">
      <c r="A32" s="111" t="s">
        <v>560</v>
      </c>
      <c r="B32" s="375">
        <f>1%*Vout2*1000</f>
        <v>160</v>
      </c>
      <c r="C32" s="61" t="s">
        <v>149</v>
      </c>
      <c r="D32" s="112" t="s">
        <v>559</v>
      </c>
      <c r="F32" s="7"/>
      <c r="G32" s="7"/>
      <c r="H32" s="7"/>
      <c r="I32" s="25"/>
      <c r="Q32" s="527"/>
      <c r="R32" t="str">
        <f>"2 : 1"</f>
        <v>2 : 1</v>
      </c>
      <c r="S32">
        <v>5</v>
      </c>
      <c r="V32" t="str">
        <f>"2 : 1"</f>
        <v>2 : 1</v>
      </c>
      <c r="W32">
        <v>5</v>
      </c>
    </row>
    <row r="33" spans="1:23" ht="12.5" x14ac:dyDescent="0.25">
      <c r="A33" s="78"/>
      <c r="B33" s="375"/>
      <c r="C33" s="61"/>
      <c r="D33" s="112"/>
      <c r="F33" s="7"/>
      <c r="G33" s="7"/>
      <c r="H33" s="7"/>
      <c r="I33" s="25"/>
      <c r="Q33" s="527"/>
      <c r="R33" t="str">
        <f>"1.8 : 1"</f>
        <v>1.8 : 1</v>
      </c>
      <c r="S33">
        <v>6</v>
      </c>
      <c r="V33" t="str">
        <f>"1.8 : 1"</f>
        <v>1.8 : 1</v>
      </c>
      <c r="W33">
        <v>6</v>
      </c>
    </row>
    <row r="34" spans="1:23" x14ac:dyDescent="0.3">
      <c r="F34" s="7"/>
      <c r="G34" s="7"/>
      <c r="H34" s="7"/>
      <c r="I34" s="25"/>
      <c r="R34" t="str">
        <f>"1.5 : 1"</f>
        <v>1.5 : 1</v>
      </c>
      <c r="S34">
        <v>7</v>
      </c>
      <c r="V34" t="str">
        <f>"1.5 : 1"</f>
        <v>1.5 : 1</v>
      </c>
      <c r="W34">
        <v>7</v>
      </c>
    </row>
    <row r="35" spans="1:23" x14ac:dyDescent="0.3">
      <c r="F35" s="7"/>
      <c r="G35" s="7"/>
      <c r="H35" s="7"/>
      <c r="I35" s="25"/>
      <c r="R35" s="793" t="s">
        <v>856</v>
      </c>
      <c r="S35">
        <v>8</v>
      </c>
      <c r="V35" s="793" t="s">
        <v>856</v>
      </c>
      <c r="W35">
        <v>8</v>
      </c>
    </row>
    <row r="36" spans="1:23" ht="12.5" x14ac:dyDescent="0.25">
      <c r="A36" s="111" t="s">
        <v>47</v>
      </c>
      <c r="B36" s="626">
        <v>0.9</v>
      </c>
      <c r="C36" s="61"/>
      <c r="D36" s="78" t="s">
        <v>175</v>
      </c>
      <c r="F36" s="7"/>
      <c r="G36" s="7"/>
      <c r="H36" s="7"/>
      <c r="I36" s="25"/>
      <c r="R36" t="str">
        <f>"1 : 1"</f>
        <v>1 : 1</v>
      </c>
      <c r="S36">
        <v>9</v>
      </c>
      <c r="V36" t="str">
        <f>"1 : 1"</f>
        <v>1 : 1</v>
      </c>
      <c r="W36">
        <v>9</v>
      </c>
    </row>
    <row r="37" spans="1:23" ht="12.5" x14ac:dyDescent="0.25">
      <c r="A37" s="111"/>
      <c r="B37" s="626"/>
      <c r="C37" s="61"/>
      <c r="D37" s="78"/>
      <c r="F37" s="7"/>
      <c r="G37" s="7"/>
      <c r="H37" s="7"/>
      <c r="I37" s="25"/>
      <c r="R37" s="793" t="s">
        <v>857</v>
      </c>
      <c r="S37">
        <v>10</v>
      </c>
      <c r="V37" s="793" t="s">
        <v>857</v>
      </c>
      <c r="W37">
        <v>10</v>
      </c>
    </row>
    <row r="38" spans="1:23" ht="12.5" x14ac:dyDescent="0.25">
      <c r="A38" s="111" t="s">
        <v>156</v>
      </c>
      <c r="B38" s="424">
        <f>Pout/Efficiency</f>
        <v>3.5555555555555558</v>
      </c>
      <c r="C38" s="61" t="s">
        <v>45</v>
      </c>
      <c r="D38" s="112" t="s">
        <v>462</v>
      </c>
      <c r="F38" s="7"/>
      <c r="G38" s="7"/>
      <c r="H38" s="7"/>
      <c r="I38" s="25"/>
      <c r="R38" t="str">
        <f>"1 : 1.5"</f>
        <v>1 : 1.5</v>
      </c>
      <c r="S38">
        <v>11</v>
      </c>
      <c r="V38" t="str">
        <f>"1 : 1.5"</f>
        <v>1 : 1.5</v>
      </c>
      <c r="W38">
        <v>11</v>
      </c>
    </row>
    <row r="39" spans="1:23" ht="12.5" x14ac:dyDescent="0.25">
      <c r="A39" s="111"/>
      <c r="B39" s="424"/>
      <c r="C39" s="61"/>
      <c r="D39" s="112"/>
      <c r="F39" s="7"/>
      <c r="G39" s="7"/>
      <c r="H39" s="7"/>
      <c r="I39" s="25"/>
      <c r="R39" t="str">
        <f>"1 : 1.8"</f>
        <v>1 : 1.8</v>
      </c>
      <c r="S39">
        <v>12</v>
      </c>
      <c r="V39" t="str">
        <f>"1 : 1.8"</f>
        <v>1 : 1.8</v>
      </c>
      <c r="W39">
        <v>12</v>
      </c>
    </row>
    <row r="40" spans="1:23" ht="12.5" x14ac:dyDescent="0.25">
      <c r="A40" s="111" t="s">
        <v>153</v>
      </c>
      <c r="B40" s="167">
        <f>Pin/VIN_min</f>
        <v>0.29629629629629634</v>
      </c>
      <c r="C40" s="61" t="s">
        <v>1</v>
      </c>
      <c r="D40" s="78"/>
      <c r="F40" s="7"/>
      <c r="G40" s="7"/>
      <c r="H40" s="7"/>
      <c r="I40" s="25"/>
      <c r="R40" t="str">
        <f>"1 : 2"</f>
        <v>1 : 2</v>
      </c>
      <c r="S40">
        <v>13</v>
      </c>
      <c r="V40" t="str">
        <f>"1 : 2"</f>
        <v>1 : 2</v>
      </c>
      <c r="W40">
        <v>13</v>
      </c>
    </row>
    <row r="41" spans="1:23" ht="12.5" x14ac:dyDescent="0.25">
      <c r="A41" s="111"/>
      <c r="B41" s="167"/>
      <c r="C41" s="61"/>
      <c r="D41" s="78"/>
      <c r="F41" s="7"/>
      <c r="G41" s="7"/>
      <c r="H41" s="7"/>
      <c r="I41" s="25"/>
      <c r="R41" t="str">
        <f>"1 : 2.5"</f>
        <v>1 : 2.5</v>
      </c>
      <c r="S41">
        <v>14</v>
      </c>
      <c r="V41" t="str">
        <f>"1 : 2.5"</f>
        <v>1 : 2.5</v>
      </c>
      <c r="W41">
        <v>14</v>
      </c>
    </row>
    <row r="42" spans="1:23" ht="12.5" x14ac:dyDescent="0.25">
      <c r="A42" s="111" t="s">
        <v>154</v>
      </c>
      <c r="B42" s="167">
        <f>Pin/VIN_nom</f>
        <v>0.11111111111111112</v>
      </c>
      <c r="C42" s="61" t="s">
        <v>1</v>
      </c>
      <c r="D42" s="112" t="s">
        <v>159</v>
      </c>
      <c r="F42" s="7"/>
      <c r="G42" s="7"/>
      <c r="H42" s="7"/>
      <c r="I42" s="25">
        <v>1</v>
      </c>
      <c r="K42" s="77"/>
      <c r="R42" t="str">
        <f>"1 : 3"</f>
        <v>1 : 3</v>
      </c>
      <c r="S42">
        <v>15</v>
      </c>
      <c r="V42" t="str">
        <f>"1 : 3"</f>
        <v>1 : 3</v>
      </c>
      <c r="W42">
        <v>15</v>
      </c>
    </row>
    <row r="43" spans="1:23" ht="12.5" x14ac:dyDescent="0.25">
      <c r="A43" s="111" t="s">
        <v>155</v>
      </c>
      <c r="B43" s="167">
        <f>Pin/VIN_max</f>
        <v>7.4074074074074084E-2</v>
      </c>
      <c r="C43" s="61" t="s">
        <v>1</v>
      </c>
      <c r="D43" s="78"/>
      <c r="F43" s="7"/>
      <c r="G43" s="7"/>
      <c r="H43" s="7"/>
      <c r="I43" s="25"/>
      <c r="R43" t="str">
        <f>"1 : 4"</f>
        <v>1 : 4</v>
      </c>
      <c r="S43">
        <v>16</v>
      </c>
      <c r="V43" t="str">
        <f>"1 : 4"</f>
        <v>1 : 4</v>
      </c>
      <c r="W43">
        <v>16</v>
      </c>
    </row>
    <row r="44" spans="1:23" ht="12.5" x14ac:dyDescent="0.25">
      <c r="A44" s="111"/>
      <c r="B44" s="167"/>
      <c r="C44" s="61"/>
      <c r="D44" s="78"/>
      <c r="F44" s="7"/>
      <c r="G44" s="7"/>
      <c r="H44" s="7"/>
      <c r="I44" s="25"/>
      <c r="R44" t="str">
        <f>"1 : 5"</f>
        <v>1 : 5</v>
      </c>
      <c r="S44">
        <v>17</v>
      </c>
      <c r="V44" t="str">
        <f>"1 : 5"</f>
        <v>1 : 5</v>
      </c>
      <c r="W44">
        <v>17</v>
      </c>
    </row>
    <row r="45" spans="1:23" x14ac:dyDescent="0.3">
      <c r="A45" s="111" t="s">
        <v>620</v>
      </c>
      <c r="B45" s="376">
        <f>CHOOSE(MODE, 'Calculations - Single'!N110, 'Calculations - Dual'!O110+'Calculations - Dual'!P110)</f>
        <v>5.0224924012158052</v>
      </c>
      <c r="C45" s="112" t="s">
        <v>45</v>
      </c>
      <c r="D45" s="78" t="b">
        <f>B45&lt;Pout_total</f>
        <v>0</v>
      </c>
      <c r="F45" s="7"/>
      <c r="G45" s="7"/>
      <c r="H45" s="7"/>
      <c r="I45" s="25"/>
      <c r="Q45" s="572" t="s">
        <v>395</v>
      </c>
      <c r="R45" s="467" t="str">
        <f>CHOOSE(Turns_Ratio, "5 : 1", "4 : 1", "3 : 1", "2.5 : 1", "2 : 1", "1.8 : 1", "1.5 : 1", "1.2 : 1", "1 : 1", "1 : 1.2", "1 : 1.5", "1 : 1.8", "1 : 2",  "1 : 2.5","1 : 3", "1 : 4", "1 : 5")</f>
        <v>1.2 : 1</v>
      </c>
      <c r="S45" s="3">
        <v>8</v>
      </c>
      <c r="U45" s="572" t="s">
        <v>584</v>
      </c>
      <c r="V45" s="453" t="str">
        <f>CHOOSE(Turns_Ratio2, "5 : 1", "4 : 1", "3 : 1", "2.5 : 1", "2 : 1", "1.8 : 1","1.5 : 1", "1.2 : 1", "1 : 1", "1 : 1.2", "1 : 1.5", "1 : 2",  "1 : 2.5","1 : 3", "1 : 4", "1 : 5")</f>
        <v>1 : 1</v>
      </c>
      <c r="W45" s="3">
        <v>9</v>
      </c>
    </row>
    <row r="46" spans="1:23" x14ac:dyDescent="0.3">
      <c r="A46" s="111" t="s">
        <v>807</v>
      </c>
      <c r="B46" s="528">
        <f>CHOOSE(MODE, 'Calculations - Single'!N111, 'Calculations - Dual'!O111+'Calculations - Dual'!P111)/Vout</f>
        <v>0.31390577507598783</v>
      </c>
      <c r="C46" s="112" t="s">
        <v>1</v>
      </c>
      <c r="D46" s="78"/>
      <c r="F46" s="7"/>
      <c r="G46" s="7"/>
      <c r="H46" s="7"/>
      <c r="I46" s="25"/>
      <c r="Q46" s="572"/>
      <c r="R46" s="467"/>
      <c r="S46" s="3"/>
      <c r="U46" s="572"/>
      <c r="V46" s="453"/>
      <c r="W46" s="3"/>
    </row>
    <row r="47" spans="1:23" ht="12.5" x14ac:dyDescent="0.25">
      <c r="A47" s="111" t="s">
        <v>435</v>
      </c>
      <c r="B47" s="134">
        <v>350000</v>
      </c>
      <c r="C47" s="112" t="s">
        <v>8</v>
      </c>
      <c r="D47" s="78" t="s">
        <v>579</v>
      </c>
      <c r="F47" s="7"/>
      <c r="G47" s="7"/>
      <c r="H47" s="7"/>
      <c r="I47" s="25"/>
    </row>
    <row r="48" spans="1:23" x14ac:dyDescent="0.3">
      <c r="A48" s="26" t="s">
        <v>18</v>
      </c>
      <c r="B48" s="27">
        <v>1.21</v>
      </c>
      <c r="C48" s="7" t="s">
        <v>0</v>
      </c>
      <c r="D48" s="78" t="s">
        <v>580</v>
      </c>
      <c r="F48" s="7"/>
      <c r="G48" s="7"/>
      <c r="H48" s="7"/>
      <c r="I48" s="25"/>
      <c r="Q48" s="77" t="s">
        <v>454</v>
      </c>
      <c r="R48" s="467" t="str">
        <f>CHOOSE(Turns_Ratio, "5", "4 ", "3", "2.5", "2", "1.8", "1.5", "1.2", "1", "0.833",  "0.667", "0.556", "0.5", "0.4", "0.33", "0.25", "0.2")</f>
        <v>1.2</v>
      </c>
    </row>
    <row r="49" spans="1:23" x14ac:dyDescent="0.3">
      <c r="A49" s="111" t="s">
        <v>393</v>
      </c>
      <c r="B49" s="168">
        <f>'LM(2)518x PSR flyback converter'!E28*1000</f>
        <v>196000</v>
      </c>
      <c r="C49" s="114" t="s">
        <v>45</v>
      </c>
      <c r="D49" s="112" t="s">
        <v>581</v>
      </c>
      <c r="F49" s="7"/>
      <c r="G49" s="7"/>
      <c r="H49" s="7"/>
      <c r="I49" s="25"/>
      <c r="Q49" s="77" t="s">
        <v>503</v>
      </c>
      <c r="R49" s="467" t="str">
        <f>CHOOSE(Turns_Ratio, "5", "4 ", "3", "2.5", "2", "1.8", "1.5", "1.2", "1", "0.833",  "0.667","0.556", "0.5", "0.4", "0.333", "0.25", "0.2")</f>
        <v>1.2</v>
      </c>
      <c r="V49" s="77" t="s">
        <v>588</v>
      </c>
      <c r="W49" s="162" t="str">
        <f>CHOOSE(Turns_Ratio, "1", "1", "1", "1", "1", "1", "1", "1", "1", "1.2", "1.5", "1.8",  "2", "2.5", "3", "4", "5")</f>
        <v>1</v>
      </c>
    </row>
    <row r="50" spans="1:23" x14ac:dyDescent="0.3">
      <c r="A50" s="111" t="s">
        <v>786</v>
      </c>
      <c r="B50" s="375">
        <f>VIN_max+Nps*(Vout+Vfwd2)</f>
        <v>67.679999999999993</v>
      </c>
      <c r="C50" s="78" t="s">
        <v>0</v>
      </c>
      <c r="D50" s="112" t="b">
        <f>B50&gt;F50</f>
        <v>0</v>
      </c>
      <c r="F50" s="7">
        <f>CHOOSE(VARIANT, 90, 90, 60, 60, 60)</f>
        <v>90</v>
      </c>
      <c r="G50" s="7"/>
      <c r="H50" s="7"/>
      <c r="I50" s="25"/>
      <c r="K50" s="77" t="s">
        <v>397</v>
      </c>
      <c r="Q50" s="77" t="s">
        <v>587</v>
      </c>
      <c r="R50" s="637">
        <f>ABS((Vout2+Vfwd1)/(Vout+Vfwd1))</f>
        <v>1</v>
      </c>
      <c r="V50" s="77" t="s">
        <v>587</v>
      </c>
      <c r="W50" s="623">
        <f>Nsec1sec2</f>
        <v>1</v>
      </c>
    </row>
    <row r="51" spans="1:23" ht="15.5" x14ac:dyDescent="0.4">
      <c r="A51" s="111" t="s">
        <v>394</v>
      </c>
      <c r="B51" s="528">
        <v>0.1</v>
      </c>
      <c r="C51" s="78" t="s">
        <v>45</v>
      </c>
      <c r="D51" s="112" t="s">
        <v>582</v>
      </c>
      <c r="F51" s="607" t="s">
        <v>583</v>
      </c>
      <c r="G51" s="7"/>
      <c r="H51" s="7"/>
      <c r="I51" s="25"/>
      <c r="Q51" s="483" t="s">
        <v>504</v>
      </c>
      <c r="R51" s="621">
        <f>Nps/Nsec1sec2</f>
        <v>1.2</v>
      </c>
      <c r="V51" s="3"/>
      <c r="W51" s="622">
        <f>W49*W50</f>
        <v>1</v>
      </c>
    </row>
    <row r="52" spans="1:23" ht="13.5" thickBot="1" x14ac:dyDescent="0.35">
      <c r="A52" s="28"/>
      <c r="B52" s="29"/>
      <c r="C52" s="81"/>
      <c r="D52" s="29"/>
      <c r="E52" s="29"/>
      <c r="F52" s="29"/>
      <c r="G52" s="29"/>
      <c r="H52" s="29"/>
      <c r="I52" s="30"/>
      <c r="K52" s="449" t="str">
        <f>"SCH_"&amp;B59&amp;"_"&amp;F64&amp;"_"&amp;I64&amp;"_"&amp;F58</f>
        <v>SCH_BIPOLAR_UVLOadj_SSadj_TCyes</v>
      </c>
      <c r="R52" s="372">
        <f>ROUND(Nsec1sec2,1)</f>
        <v>1</v>
      </c>
      <c r="V52" s="162" t="s">
        <v>589</v>
      </c>
      <c r="W52" s="612" t="str">
        <f>CHOOSE(MODE, R45, R45&amp;" : "&amp;ROUND(W51,2))</f>
        <v>1.2 : 1 : 1</v>
      </c>
    </row>
    <row r="53" spans="1:23" x14ac:dyDescent="0.3">
      <c r="A53" s="7"/>
      <c r="B53" s="7"/>
      <c r="C53" s="40"/>
      <c r="D53" s="7"/>
      <c r="E53" s="7"/>
      <c r="F53" s="7"/>
      <c r="G53" s="7"/>
      <c r="H53" s="7"/>
      <c r="I53" s="7"/>
    </row>
    <row r="54" spans="1:23" ht="16" thickBot="1" x14ac:dyDescent="0.4">
      <c r="A54" s="51" t="s">
        <v>570</v>
      </c>
      <c r="B54" s="7"/>
      <c r="C54" s="40"/>
      <c r="D54" s="7"/>
      <c r="E54" s="7"/>
      <c r="F54" s="7"/>
      <c r="G54" s="7"/>
      <c r="H54" s="7"/>
      <c r="I54" s="7"/>
    </row>
    <row r="55" spans="1:23" ht="15.5" x14ac:dyDescent="0.35">
      <c r="A55" s="384"/>
      <c r="B55" s="385"/>
      <c r="C55" s="386"/>
      <c r="D55" s="385"/>
      <c r="E55" s="385"/>
      <c r="F55" s="385"/>
      <c r="G55" s="385"/>
      <c r="H55" s="385"/>
      <c r="I55" s="441"/>
      <c r="J55" s="441"/>
      <c r="K55" s="441"/>
      <c r="L55" s="441"/>
      <c r="M55" s="441"/>
      <c r="N55" s="441"/>
      <c r="O55" s="24"/>
    </row>
    <row r="56" spans="1:23" x14ac:dyDescent="0.3">
      <c r="A56" s="381" t="s">
        <v>363</v>
      </c>
      <c r="B56" s="78" t="s">
        <v>364</v>
      </c>
      <c r="C56" s="442">
        <v>1</v>
      </c>
      <c r="D56" s="7"/>
      <c r="E56" s="381" t="s">
        <v>381</v>
      </c>
      <c r="F56" s="78" t="s">
        <v>366</v>
      </c>
      <c r="G56" s="165" t="b">
        <v>1</v>
      </c>
      <c r="I56" s="159" t="s">
        <v>301</v>
      </c>
      <c r="J56" s="165">
        <v>1</v>
      </c>
      <c r="K56" t="str">
        <f>B59&amp;", "&amp;F58&amp;", "&amp;I58&amp;", "&amp;F64&amp;", "&amp;I64</f>
        <v>BIPOLAR, TCyes, IlimRes, UVLOadj, SSadj</v>
      </c>
      <c r="O56" s="24"/>
      <c r="Q56" s="399" t="s">
        <v>334</v>
      </c>
      <c r="R56" s="3" t="s">
        <v>329</v>
      </c>
      <c r="S56" s="372">
        <v>1</v>
      </c>
    </row>
    <row r="57" spans="1:23" x14ac:dyDescent="0.3">
      <c r="A57" s="380"/>
      <c r="B57" s="78" t="s">
        <v>365</v>
      </c>
      <c r="C57" s="442">
        <v>2</v>
      </c>
      <c r="D57" s="7"/>
      <c r="E57" s="37"/>
      <c r="F57" s="78" t="s">
        <v>367</v>
      </c>
      <c r="G57" s="165" t="b">
        <v>0</v>
      </c>
      <c r="I57" s="159" t="s">
        <v>302</v>
      </c>
      <c r="J57" s="165">
        <v>2</v>
      </c>
      <c r="K57" t="str">
        <f>C59&amp;", "&amp;G58&amp;", "&amp;J58&amp;", "&amp;G64&amp;", "&amp;J64</f>
        <v>2, 1, 2, 1, 1</v>
      </c>
      <c r="O57" s="24"/>
      <c r="Q57" s="399" t="s">
        <v>336</v>
      </c>
      <c r="R57" s="3" t="s">
        <v>330</v>
      </c>
      <c r="S57" s="372">
        <v>2</v>
      </c>
    </row>
    <row r="58" spans="1:23" x14ac:dyDescent="0.3">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21211</v>
      </c>
      <c r="O58" s="24"/>
      <c r="Q58" s="399" t="s">
        <v>337</v>
      </c>
      <c r="R58" s="3" t="s">
        <v>331</v>
      </c>
      <c r="S58" s="372">
        <v>3</v>
      </c>
    </row>
    <row r="59" spans="1:23" x14ac:dyDescent="0.3">
      <c r="A59" s="445" t="s">
        <v>285</v>
      </c>
      <c r="B59" s="443" t="str">
        <f>CHOOSE(C59,"SINGLE", IF(Vout2_actual&gt;0, "DUAL", "BIPOLAR"))</f>
        <v>BIPOLAR</v>
      </c>
      <c r="C59" s="382">
        <v>2</v>
      </c>
      <c r="D59" s="7"/>
      <c r="E59" s="7"/>
      <c r="G59" s="79">
        <f>TC</f>
        <v>1</v>
      </c>
      <c r="I59" s="378"/>
      <c r="J59" s="7"/>
      <c r="O59" s="24"/>
      <c r="Q59" s="399" t="s">
        <v>335</v>
      </c>
      <c r="R59" s="3" t="s">
        <v>332</v>
      </c>
      <c r="S59" s="372">
        <v>4</v>
      </c>
    </row>
    <row r="60" spans="1:23" x14ac:dyDescent="0.3">
      <c r="A60" s="380"/>
      <c r="B60" s="3" t="b">
        <f>CHOOSE(C59, TRUE, FALSE)</f>
        <v>0</v>
      </c>
      <c r="C60" s="79" t="str">
        <f>CHOOSE(C59,"1", IF(Vout2&gt;0, "2", "3"))</f>
        <v>2</v>
      </c>
      <c r="O60" s="24"/>
      <c r="Q60" s="399" t="s">
        <v>339</v>
      </c>
      <c r="R60" s="3" t="s">
        <v>338</v>
      </c>
      <c r="S60" s="372">
        <v>5</v>
      </c>
    </row>
    <row r="61" spans="1:23" x14ac:dyDescent="0.3">
      <c r="O61" s="24"/>
      <c r="Q61" s="447" t="s">
        <v>333</v>
      </c>
      <c r="R61" s="453" t="str">
        <f>CHOOSE(S61,"6.3V","10V","16V","25V","50V")</f>
        <v>25V</v>
      </c>
      <c r="S61" s="467">
        <f>IF(Vout&lt;=5, 1, IF(Vout&lt;=8, 2, IF(Vout&lt;=12, 3, IF(Vout&lt;=20, 4, 5))))</f>
        <v>4</v>
      </c>
    </row>
    <row r="62" spans="1:23" x14ac:dyDescent="0.3">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3">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3">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3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3">
      <c r="A66" s="7"/>
      <c r="B66" s="7" t="b">
        <f>(CONFIG="2")</f>
        <v>1</v>
      </c>
      <c r="C66" s="40" t="str">
        <f>CONFIG</f>
        <v>2</v>
      </c>
      <c r="D66" s="7"/>
      <c r="E66" s="7"/>
      <c r="F66" s="7"/>
      <c r="G66" s="7"/>
      <c r="H66" s="7"/>
      <c r="I66" s="7"/>
      <c r="R66" s="466" t="s">
        <v>343</v>
      </c>
      <c r="S66" s="372">
        <v>3</v>
      </c>
      <c r="T66" s="77" t="s">
        <v>353</v>
      </c>
      <c r="U66" s="469">
        <v>2.5</v>
      </c>
    </row>
    <row r="67" spans="1:26" ht="16" thickBot="1" x14ac:dyDescent="0.4">
      <c r="A67" s="51" t="s">
        <v>571</v>
      </c>
      <c r="B67" s="40"/>
      <c r="C67" s="40"/>
      <c r="E67" s="7"/>
      <c r="F67" s="7"/>
      <c r="G67" s="7"/>
      <c r="H67" s="7"/>
      <c r="I67" s="7"/>
      <c r="R67" s="466" t="s">
        <v>344</v>
      </c>
      <c r="S67" s="372">
        <v>4</v>
      </c>
      <c r="T67" s="77" t="s">
        <v>351</v>
      </c>
      <c r="U67" s="469">
        <v>5.0999999999999996</v>
      </c>
    </row>
    <row r="68" spans="1:26" x14ac:dyDescent="0.3">
      <c r="A68" s="110"/>
      <c r="B68" s="605"/>
      <c r="C68" s="606"/>
      <c r="D68" s="157"/>
      <c r="E68" s="80"/>
      <c r="F68" s="31"/>
      <c r="G68" s="31"/>
      <c r="H68" s="31"/>
      <c r="I68" s="32">
        <v>1</v>
      </c>
      <c r="R68" s="466" t="s">
        <v>345</v>
      </c>
      <c r="S68" s="372">
        <v>5</v>
      </c>
      <c r="T68" s="77" t="s">
        <v>354</v>
      </c>
      <c r="U68" s="469">
        <v>8</v>
      </c>
    </row>
    <row r="69" spans="1:26" x14ac:dyDescent="0.3">
      <c r="A69" s="111" t="s">
        <v>150</v>
      </c>
      <c r="B69" s="166">
        <f>Nps*(Vout+Vfwd2)/(VIN_min+Nps*(Vout+Vfwd2))</f>
        <v>0.62121212121212122</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3">
      <c r="A70" s="111" t="s">
        <v>157</v>
      </c>
      <c r="B70" s="166">
        <f>Nps*(Vout+Vfwd1)/(VIN_nom+Nps*(Vout+Vfwd1))</f>
        <v>0.37965260545905705</v>
      </c>
      <c r="C70" s="7"/>
      <c r="F70" s="7"/>
      <c r="G70" s="7"/>
      <c r="H70" s="7"/>
      <c r="I70" s="25"/>
    </row>
    <row r="71" spans="1:26" x14ac:dyDescent="0.3">
      <c r="A71" s="111" t="s">
        <v>151</v>
      </c>
      <c r="B71" s="166">
        <f>Nps*(Vout+Vfwd1)/(VIN_max+Nps*(Vout+Vfwd1))</f>
        <v>0.28977272727272724</v>
      </c>
      <c r="C71" s="7"/>
      <c r="E71" s="78"/>
      <c r="F71" s="7"/>
      <c r="G71" s="7"/>
      <c r="H71" s="7"/>
      <c r="I71" s="25"/>
    </row>
    <row r="72" spans="1:26" x14ac:dyDescent="0.3">
      <c r="A72" s="77"/>
      <c r="B72" s="7"/>
      <c r="C72" s="7"/>
      <c r="D72" s="7"/>
      <c r="E72" s="78"/>
      <c r="F72" s="7"/>
      <c r="G72" s="7"/>
      <c r="H72" s="7"/>
      <c r="I72" s="25"/>
      <c r="R72" s="3" t="s">
        <v>645</v>
      </c>
      <c r="S72" s="3"/>
      <c r="T72" s="3" t="s">
        <v>116</v>
      </c>
      <c r="U72" s="3" t="s">
        <v>646</v>
      </c>
      <c r="W72" s="3" t="s">
        <v>645</v>
      </c>
      <c r="X72" s="3"/>
      <c r="Y72" s="3" t="s">
        <v>116</v>
      </c>
      <c r="Z72" s="3" t="s">
        <v>646</v>
      </c>
    </row>
    <row r="73" spans="1:26" x14ac:dyDescent="0.3">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3">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3">
      <c r="A75" s="111"/>
      <c r="B75" s="643"/>
      <c r="C75" s="78"/>
      <c r="D75" s="78"/>
      <c r="F75" s="7"/>
      <c r="G75" s="7"/>
      <c r="H75" s="7"/>
      <c r="I75" s="25"/>
      <c r="R75" s="77" t="s">
        <v>624</v>
      </c>
      <c r="S75" s="372">
        <v>3</v>
      </c>
      <c r="T75" s="483" t="s">
        <v>632</v>
      </c>
      <c r="U75" s="469">
        <v>64</v>
      </c>
      <c r="W75" s="77" t="s">
        <v>643</v>
      </c>
      <c r="X75" s="372">
        <v>3</v>
      </c>
      <c r="Y75" s="77" t="s">
        <v>650</v>
      </c>
      <c r="Z75">
        <v>6.5</v>
      </c>
    </row>
    <row r="76" spans="1:26" ht="12.5" x14ac:dyDescent="0.25">
      <c r="A76" s="77"/>
      <c r="B76" s="11"/>
      <c r="C76"/>
      <c r="I76" s="25">
        <v>1</v>
      </c>
      <c r="R76" s="77" t="s">
        <v>625</v>
      </c>
      <c r="S76" s="372">
        <v>4</v>
      </c>
      <c r="T76" s="483" t="s">
        <v>631</v>
      </c>
      <c r="U76" s="469">
        <v>81</v>
      </c>
      <c r="W76" s="77" t="s">
        <v>644</v>
      </c>
      <c r="X76" s="372">
        <v>4</v>
      </c>
      <c r="Y76" s="77" t="s">
        <v>649</v>
      </c>
      <c r="Z76">
        <v>12.5</v>
      </c>
    </row>
    <row r="77" spans="1:26" x14ac:dyDescent="0.3">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3">
      <c r="A78" s="112"/>
      <c r="B78" s="644"/>
      <c r="C78" s="7"/>
      <c r="D78" s="78">
        <f>Isw_min</f>
        <v>0.3</v>
      </c>
      <c r="E78" s="78"/>
      <c r="F78" s="7"/>
      <c r="G78" s="7"/>
      <c r="H78" s="7"/>
      <c r="I78" s="25"/>
      <c r="R78" s="77" t="s">
        <v>627</v>
      </c>
      <c r="S78" s="372">
        <v>6</v>
      </c>
      <c r="T78" s="483" t="s">
        <v>629</v>
      </c>
      <c r="U78" s="469">
        <v>120</v>
      </c>
      <c r="W78" s="447" t="s">
        <v>647</v>
      </c>
    </row>
    <row r="79" spans="1:26" x14ac:dyDescent="0.3">
      <c r="A79" s="112"/>
      <c r="B79" s="644"/>
      <c r="C79" s="78"/>
      <c r="D79" s="78"/>
      <c r="E79" s="78"/>
      <c r="F79" s="7"/>
      <c r="G79" s="7"/>
      <c r="H79" s="7"/>
      <c r="I79" s="25"/>
      <c r="R79" s="77" t="s">
        <v>628</v>
      </c>
      <c r="S79" s="372">
        <v>7</v>
      </c>
      <c r="T79" s="483" t="s">
        <v>635</v>
      </c>
      <c r="U79" s="469">
        <v>143</v>
      </c>
    </row>
    <row r="80" spans="1:26" ht="15.5" x14ac:dyDescent="0.4">
      <c r="A80" s="77"/>
      <c r="B80" s="7"/>
      <c r="C80" s="78"/>
      <c r="D80" s="7"/>
      <c r="E80" s="78"/>
      <c r="F80" s="7"/>
      <c r="G80" s="7"/>
      <c r="H80" s="7"/>
      <c r="I80" s="25"/>
      <c r="K80" s="77" t="s">
        <v>321</v>
      </c>
      <c r="Q80" s="447" t="s">
        <v>460</v>
      </c>
    </row>
    <row r="81" spans="1:9" ht="12.5" x14ac:dyDescent="0.25">
      <c r="A81" s="111" t="s">
        <v>695</v>
      </c>
      <c r="B81" s="42">
        <f>'LM(2)518x PSR flyback converter'!L7/1000000</f>
        <v>3.0000000000000001E-5</v>
      </c>
      <c r="C81" s="7" t="s">
        <v>11</v>
      </c>
      <c r="D81" s="78" t="s">
        <v>459</v>
      </c>
      <c r="F81" s="7"/>
      <c r="G81" s="7"/>
      <c r="H81" s="7"/>
      <c r="I81" s="25"/>
    </row>
    <row r="82" spans="1:9" ht="12.5" x14ac:dyDescent="0.25">
      <c r="A82" s="111" t="s">
        <v>677</v>
      </c>
      <c r="B82" s="134">
        <f>'LM(2)518x PSR flyback converter'!L11</f>
        <v>100</v>
      </c>
      <c r="C82" s="7" t="s">
        <v>678</v>
      </c>
      <c r="D82" s="78"/>
      <c r="F82" s="7"/>
      <c r="G82" s="7"/>
      <c r="H82" s="7"/>
      <c r="I82" s="25"/>
    </row>
    <row r="83" spans="1:9" ht="12.5" x14ac:dyDescent="0.25">
      <c r="A83" s="111" t="s">
        <v>392</v>
      </c>
      <c r="B83" s="10">
        <f>'LM(2)518x PSR flyback converter'!L8/1000</f>
        <v>0.1</v>
      </c>
      <c r="C83" s="114" t="s">
        <v>45</v>
      </c>
      <c r="D83" s="78" t="s">
        <v>457</v>
      </c>
      <c r="F83" s="7"/>
      <c r="G83" s="7"/>
      <c r="H83" s="7"/>
      <c r="I83" s="25"/>
    </row>
    <row r="84" spans="1:9" ht="12.5" x14ac:dyDescent="0.25">
      <c r="A84" s="111" t="s">
        <v>455</v>
      </c>
      <c r="B84" s="10">
        <f>'LM(2)518x PSR flyback converter'!L9/1000</f>
        <v>0.03</v>
      </c>
      <c r="C84" s="114" t="s">
        <v>45</v>
      </c>
      <c r="D84" s="78" t="s">
        <v>458</v>
      </c>
      <c r="F84" s="7"/>
      <c r="G84" s="7"/>
      <c r="H84" s="7"/>
      <c r="I84" s="25">
        <v>2</v>
      </c>
    </row>
    <row r="85" spans="1:9" ht="12.5" x14ac:dyDescent="0.25">
      <c r="A85" s="111" t="s">
        <v>456</v>
      </c>
      <c r="B85" s="10">
        <f>'LM(2)518x PSR flyback converter'!L10/1000</f>
        <v>0.05</v>
      </c>
      <c r="C85" s="114" t="s">
        <v>45</v>
      </c>
      <c r="D85" s="78" t="s">
        <v>553</v>
      </c>
      <c r="E85" s="78"/>
      <c r="F85" s="7"/>
      <c r="G85" s="7"/>
      <c r="H85" s="7"/>
      <c r="I85" s="25">
        <v>1</v>
      </c>
    </row>
    <row r="86" spans="1:9" ht="12.5" x14ac:dyDescent="0.25">
      <c r="A86" s="111"/>
      <c r="B86" s="7"/>
      <c r="C86" s="7"/>
      <c r="D86" s="7"/>
      <c r="E86" s="7"/>
      <c r="F86" s="7"/>
      <c r="G86" s="7"/>
      <c r="H86" s="7"/>
      <c r="I86" s="25"/>
    </row>
    <row r="87" spans="1:9" ht="15.75" customHeight="1" x14ac:dyDescent="0.25">
      <c r="A87" s="78" t="s">
        <v>552</v>
      </c>
      <c r="B87" s="195">
        <v>100</v>
      </c>
      <c r="C87" s="112" t="s">
        <v>102</v>
      </c>
      <c r="D87" s="78"/>
      <c r="E87" s="7"/>
      <c r="F87" s="7"/>
      <c r="H87" s="7"/>
      <c r="I87" s="25"/>
    </row>
    <row r="88" spans="1:9" x14ac:dyDescent="0.3">
      <c r="A88" s="111" t="s">
        <v>549</v>
      </c>
      <c r="B88" s="187">
        <f>Rdcr_pri*(1+0.0039*(B87-25))</f>
        <v>0.12925</v>
      </c>
      <c r="C88" s="114" t="s">
        <v>45</v>
      </c>
      <c r="D88" s="7"/>
      <c r="H88" s="7"/>
      <c r="I88" s="25"/>
    </row>
    <row r="89" spans="1:9" x14ac:dyDescent="0.3">
      <c r="A89" s="111" t="s">
        <v>550</v>
      </c>
      <c r="B89" s="187">
        <f>Rdcr_sec*(1+0.0039*(B87-25))</f>
        <v>3.8774999999999997E-2</v>
      </c>
      <c r="C89" s="114" t="s">
        <v>45</v>
      </c>
      <c r="D89" s="7"/>
      <c r="H89" s="7"/>
      <c r="I89" s="25"/>
    </row>
    <row r="90" spans="1:9" x14ac:dyDescent="0.3">
      <c r="A90" s="111" t="s">
        <v>551</v>
      </c>
      <c r="B90" s="187">
        <f>Rdcr_sec2*(1+0.0039*(B87-25))</f>
        <v>6.4625000000000002E-2</v>
      </c>
      <c r="C90" s="114" t="s">
        <v>45</v>
      </c>
      <c r="D90" s="7"/>
      <c r="H90" s="7"/>
      <c r="I90" s="25"/>
    </row>
    <row r="91" spans="1:9" x14ac:dyDescent="0.3">
      <c r="A91" s="112" t="s">
        <v>805</v>
      </c>
      <c r="B91">
        <f>CHOOSE(VARIANT, 450, 375, 450, 375, 425)</f>
        <v>450</v>
      </c>
      <c r="C91" s="3" t="s">
        <v>32</v>
      </c>
      <c r="I91" s="25"/>
    </row>
    <row r="92" spans="1:9" x14ac:dyDescent="0.3">
      <c r="A92" t="s">
        <v>676</v>
      </c>
      <c r="B92" s="747">
        <f>(Vout+Vfwd1)*Nps*toff_max*0.000000001/Isw_min*1000000</f>
        <v>29.376000000000001</v>
      </c>
      <c r="C92" s="3" t="s">
        <v>806</v>
      </c>
      <c r="I92" s="25"/>
    </row>
    <row r="93" spans="1:9" ht="13.5" thickBot="1" x14ac:dyDescent="0.35">
      <c r="A93" s="170" t="s">
        <v>815</v>
      </c>
      <c r="B93" s="761">
        <f>CHOOSE(VARIANT, 2, 1, 2, 3, 5)</f>
        <v>2</v>
      </c>
      <c r="C93" s="81" t="s">
        <v>1</v>
      </c>
      <c r="D93" s="29"/>
      <c r="E93" s="29"/>
      <c r="F93" s="29"/>
      <c r="G93" s="29"/>
      <c r="H93" s="29"/>
      <c r="I93" s="30"/>
    </row>
    <row r="94" spans="1:9" x14ac:dyDescent="0.3">
      <c r="A94" s="40"/>
      <c r="B94" s="39"/>
      <c r="C94" s="39"/>
      <c r="D94" s="7"/>
      <c r="E94" s="7"/>
      <c r="F94" s="7"/>
      <c r="G94" s="7"/>
      <c r="H94" s="7"/>
      <c r="I94" s="7"/>
    </row>
    <row r="96" spans="1:9" ht="16" thickBot="1" x14ac:dyDescent="0.4">
      <c r="A96" s="51" t="s">
        <v>572</v>
      </c>
      <c r="B96" s="7"/>
      <c r="D96" s="40"/>
      <c r="E96" s="7"/>
      <c r="F96" s="7"/>
      <c r="G96" s="7"/>
      <c r="H96" s="7"/>
      <c r="I96" s="7"/>
    </row>
    <row r="97" spans="1:12" ht="12.5" x14ac:dyDescent="0.25">
      <c r="A97" s="110" t="s">
        <v>164</v>
      </c>
      <c r="B97" s="423"/>
      <c r="C97" s="169" t="s">
        <v>1</v>
      </c>
      <c r="D97" s="80" t="s">
        <v>163</v>
      </c>
      <c r="E97" s="31"/>
      <c r="F97" s="31"/>
      <c r="G97" s="31"/>
      <c r="H97" s="31"/>
      <c r="I97" s="32"/>
      <c r="L97" s="5"/>
    </row>
    <row r="98" spans="1:12" ht="12.5" x14ac:dyDescent="0.25">
      <c r="A98" s="111" t="s">
        <v>165</v>
      </c>
      <c r="B98" s="424"/>
      <c r="C98" s="112" t="s">
        <v>1</v>
      </c>
      <c r="D98" s="7"/>
      <c r="E98" s="78"/>
      <c r="F98" s="7"/>
      <c r="G98" s="7"/>
      <c r="H98" s="7"/>
      <c r="I98" s="25"/>
      <c r="L98" s="5"/>
    </row>
    <row r="99" spans="1:12" ht="12.5" x14ac:dyDescent="0.25">
      <c r="A99" s="111" t="s">
        <v>166</v>
      </c>
      <c r="B99" s="424"/>
      <c r="C99" s="112" t="s">
        <v>1</v>
      </c>
      <c r="D99" s="7"/>
      <c r="E99" s="78"/>
      <c r="F99" s="7"/>
      <c r="G99" s="7"/>
      <c r="H99" s="7"/>
      <c r="I99" s="25"/>
      <c r="L99" s="5"/>
    </row>
    <row r="100" spans="1:12" ht="12.5" x14ac:dyDescent="0.25">
      <c r="A100" s="111"/>
      <c r="B100" s="171"/>
      <c r="C100" s="112"/>
      <c r="D100" s="7"/>
      <c r="E100" s="78"/>
      <c r="F100" s="7"/>
      <c r="G100" s="7"/>
      <c r="H100" s="7"/>
      <c r="I100" s="25"/>
      <c r="L100" s="5"/>
    </row>
    <row r="101" spans="1:12" ht="12.5" x14ac:dyDescent="0.25">
      <c r="A101" s="111" t="s">
        <v>174</v>
      </c>
      <c r="B101" s="559">
        <f>Vout_ripple</f>
        <v>160</v>
      </c>
      <c r="C101" s="112" t="s">
        <v>149</v>
      </c>
      <c r="D101" s="78" t="s">
        <v>608</v>
      </c>
      <c r="F101" s="7"/>
      <c r="G101" s="7"/>
      <c r="H101" s="7"/>
      <c r="I101" s="25"/>
      <c r="L101" s="5"/>
    </row>
    <row r="102" spans="1:12" x14ac:dyDescent="0.3">
      <c r="A102" s="505" t="s">
        <v>12</v>
      </c>
      <c r="B102" s="745">
        <f>MAX(4.7, CHOOSE(MODE, 'Calculations - Single'!BA212, 'Calculations - Dual'!AW105))</f>
        <v>4.7</v>
      </c>
      <c r="C102" s="205" t="s">
        <v>97</v>
      </c>
      <c r="D102" s="78" t="s">
        <v>607</v>
      </c>
      <c r="E102" s="78"/>
      <c r="F102" s="7"/>
      <c r="G102" s="7"/>
      <c r="H102" s="7"/>
      <c r="I102" s="25"/>
    </row>
    <row r="103" spans="1:12" ht="12.5" x14ac:dyDescent="0.25">
      <c r="A103" s="111" t="s">
        <v>14</v>
      </c>
      <c r="B103" s="602">
        <f>'LM(2)518x PSR flyback converter'!E22</f>
        <v>100</v>
      </c>
      <c r="C103" s="205" t="s">
        <v>97</v>
      </c>
      <c r="D103" s="78" t="s">
        <v>167</v>
      </c>
      <c r="F103" s="7"/>
      <c r="G103" s="7"/>
      <c r="H103" s="7"/>
      <c r="I103" s="25"/>
    </row>
    <row r="104" spans="1:12" ht="12.5" x14ac:dyDescent="0.25">
      <c r="A104" s="204" t="s">
        <v>181</v>
      </c>
      <c r="B104" s="560">
        <f>(Vripple1_spec-Iout*B106/Cout*1000)/Iout</f>
        <v>771.42857142857133</v>
      </c>
      <c r="C104" s="114" t="s">
        <v>258</v>
      </c>
      <c r="D104" s="78" t="s">
        <v>107</v>
      </c>
      <c r="F104" s="7"/>
      <c r="G104" s="7"/>
      <c r="H104" s="7"/>
      <c r="I104" s="25"/>
    </row>
    <row r="105" spans="1:12" ht="12.5" x14ac:dyDescent="0.25">
      <c r="A105" s="111" t="s">
        <v>54</v>
      </c>
      <c r="B105" s="197">
        <f>'LM(2)518x PSR flyback converter'!E23</f>
        <v>3</v>
      </c>
      <c r="C105" s="114" t="s">
        <v>258</v>
      </c>
      <c r="D105" s="78" t="s">
        <v>108</v>
      </c>
      <c r="F105" s="7"/>
      <c r="G105" s="7"/>
      <c r="H105" s="7"/>
      <c r="I105" s="25"/>
    </row>
    <row r="106" spans="1:12" ht="12.5" x14ac:dyDescent="0.25">
      <c r="A106" s="111" t="s">
        <v>445</v>
      </c>
      <c r="B106" s="196">
        <f>CHOOSE(MODE, 'Calculations - Single'!AT105, 'Calculations - Dual'!AR105)</f>
        <v>2.8571428571428572</v>
      </c>
      <c r="C106" s="205" t="s">
        <v>247</v>
      </c>
      <c r="D106" s="78"/>
      <c r="F106" s="7"/>
      <c r="G106" s="7"/>
      <c r="H106" s="7"/>
      <c r="I106" s="25"/>
    </row>
    <row r="107" spans="1:12" x14ac:dyDescent="0.3">
      <c r="A107" s="34" t="s">
        <v>444</v>
      </c>
      <c r="B107" s="744">
        <f>'Calculations - Single'!BB105</f>
        <v>1.8880666666666668</v>
      </c>
      <c r="C107" s="78" t="s">
        <v>450</v>
      </c>
      <c r="D107" s="78" t="s">
        <v>610</v>
      </c>
      <c r="F107" s="7"/>
      <c r="G107" s="7"/>
      <c r="H107" s="453" t="s">
        <v>575</v>
      </c>
      <c r="I107" s="25"/>
    </row>
    <row r="108" spans="1:12" x14ac:dyDescent="0.3">
      <c r="A108" s="34"/>
      <c r="B108" s="196"/>
      <c r="C108" s="78"/>
      <c r="D108" s="78"/>
      <c r="F108" s="7"/>
      <c r="G108" s="7"/>
      <c r="H108" s="7"/>
      <c r="I108" s="25"/>
    </row>
    <row r="109" spans="1:12" x14ac:dyDescent="0.3">
      <c r="A109" s="34"/>
      <c r="B109" s="196"/>
      <c r="C109" s="78"/>
      <c r="D109" s="78"/>
      <c r="F109" s="7"/>
      <c r="G109" s="7"/>
      <c r="H109" s="7"/>
      <c r="I109" s="25"/>
    </row>
    <row r="110" spans="1:12" ht="15.5" x14ac:dyDescent="0.35">
      <c r="A110" s="649" t="s">
        <v>573</v>
      </c>
      <c r="B110" s="196"/>
      <c r="C110" s="205"/>
      <c r="D110" s="78"/>
      <c r="F110" s="7"/>
      <c r="G110" s="7"/>
      <c r="H110" s="7"/>
      <c r="I110" s="25"/>
    </row>
    <row r="111" spans="1:12" ht="12.5" x14ac:dyDescent="0.25">
      <c r="A111" s="111" t="s">
        <v>554</v>
      </c>
      <c r="B111" s="559">
        <f>Vout_ripple2</f>
        <v>160</v>
      </c>
      <c r="C111" s="112" t="s">
        <v>149</v>
      </c>
      <c r="D111" s="78" t="s">
        <v>611</v>
      </c>
      <c r="F111" s="7"/>
      <c r="G111" s="7"/>
      <c r="H111" s="7"/>
      <c r="I111" s="25"/>
    </row>
    <row r="112" spans="1:12" x14ac:dyDescent="0.3">
      <c r="A112" s="505" t="s">
        <v>556</v>
      </c>
      <c r="B112" s="196">
        <f>MAX(4.7, 'Calculations - Dual'!AY105)</f>
        <v>4.7</v>
      </c>
      <c r="C112" s="205" t="s">
        <v>97</v>
      </c>
      <c r="D112" s="78" t="s">
        <v>607</v>
      </c>
      <c r="F112" s="7"/>
      <c r="G112" s="7"/>
      <c r="H112" s="7"/>
      <c r="I112" s="25"/>
    </row>
    <row r="113" spans="1:9" ht="12.5" x14ac:dyDescent="0.25">
      <c r="A113" s="111" t="s">
        <v>555</v>
      </c>
      <c r="B113" s="602">
        <f>'LM(2)518x PSR flyback converter'!L22</f>
        <v>22</v>
      </c>
      <c r="C113" s="205" t="s">
        <v>97</v>
      </c>
      <c r="D113" s="78" t="s">
        <v>167</v>
      </c>
      <c r="F113" s="7"/>
      <c r="G113" s="7"/>
      <c r="H113" s="7"/>
      <c r="I113" s="25"/>
    </row>
    <row r="114" spans="1:9" x14ac:dyDescent="0.3">
      <c r="A114" s="204" t="s">
        <v>557</v>
      </c>
      <c r="B114" s="560">
        <f>(Vout_ripple2-Iout2*B116/Cout2*1000)/Iout2</f>
        <v>1559.2535701363274</v>
      </c>
      <c r="C114" s="114" t="s">
        <v>258</v>
      </c>
      <c r="D114" s="78" t="s">
        <v>107</v>
      </c>
      <c r="F114" s="7"/>
      <c r="G114" s="7"/>
      <c r="H114" s="453" t="s">
        <v>574</v>
      </c>
      <c r="I114" s="25"/>
    </row>
    <row r="115" spans="1:9" ht="12.5" x14ac:dyDescent="0.25">
      <c r="A115" s="111" t="s">
        <v>558</v>
      </c>
      <c r="B115" s="197">
        <f>'LM(2)518x PSR flyback converter'!L23</f>
        <v>2</v>
      </c>
      <c r="C115" s="114" t="s">
        <v>258</v>
      </c>
      <c r="D115" s="78" t="s">
        <v>108</v>
      </c>
      <c r="F115" s="7"/>
      <c r="G115" s="7"/>
      <c r="I115" s="25"/>
    </row>
    <row r="116" spans="1:9" x14ac:dyDescent="0.3">
      <c r="A116" s="111" t="s">
        <v>445</v>
      </c>
      <c r="B116" s="196">
        <f>'Calculations - Dual'!AS105</f>
        <v>0.89642145700079534</v>
      </c>
      <c r="C116" s="205" t="s">
        <v>247</v>
      </c>
      <c r="D116" s="78"/>
      <c r="F116" s="7"/>
      <c r="G116" s="7"/>
      <c r="H116" s="453" t="s">
        <v>574</v>
      </c>
      <c r="I116" s="25"/>
    </row>
    <row r="117" spans="1:9" x14ac:dyDescent="0.3">
      <c r="A117" s="34" t="s">
        <v>444</v>
      </c>
      <c r="B117" s="599">
        <f>'Calculations - Dual'!AZ105</f>
        <v>1.6637121212121211</v>
      </c>
      <c r="C117" s="78" t="s">
        <v>450</v>
      </c>
      <c r="D117" s="78" t="s">
        <v>609</v>
      </c>
      <c r="F117" s="7"/>
      <c r="G117" s="7"/>
      <c r="H117" s="7"/>
      <c r="I117" s="25"/>
    </row>
    <row r="118" spans="1:9" x14ac:dyDescent="0.3">
      <c r="A118" s="40"/>
      <c r="B118" s="196"/>
      <c r="C118" s="78"/>
      <c r="D118" s="78"/>
      <c r="F118" s="7"/>
      <c r="G118" s="7"/>
      <c r="H118" s="7"/>
      <c r="I118" s="25"/>
    </row>
    <row r="119" spans="1:9" thickBot="1" x14ac:dyDescent="0.3">
      <c r="A119" s="29"/>
      <c r="B119" s="29"/>
      <c r="C119" s="29"/>
      <c r="D119" s="29"/>
      <c r="E119" s="29"/>
      <c r="F119" s="29"/>
      <c r="G119" s="29"/>
      <c r="H119" s="29"/>
      <c r="I119" s="30"/>
    </row>
    <row r="121" spans="1:9" ht="13.5" thickBot="1" x14ac:dyDescent="0.35">
      <c r="A121" s="7"/>
      <c r="B121" s="7"/>
      <c r="C121" s="40"/>
      <c r="D121" s="7"/>
      <c r="E121" s="7"/>
      <c r="F121" s="7"/>
      <c r="G121" s="7"/>
      <c r="H121" s="7"/>
      <c r="I121" s="7"/>
    </row>
    <row r="122" spans="1:9" ht="15.5" x14ac:dyDescent="0.35">
      <c r="A122" s="62" t="s">
        <v>55</v>
      </c>
      <c r="B122" s="63"/>
      <c r="C122" s="172"/>
      <c r="D122" s="63"/>
      <c r="E122" s="63"/>
      <c r="F122" s="63"/>
      <c r="G122" s="63"/>
      <c r="H122" s="63"/>
      <c r="I122" s="64"/>
    </row>
    <row r="123" spans="1:9" ht="12.5" x14ac:dyDescent="0.25">
      <c r="A123" s="562" t="s">
        <v>518</v>
      </c>
      <c r="B123" s="565">
        <f>0.05*VIN_nom</f>
        <v>1.6</v>
      </c>
      <c r="C123" s="112" t="s">
        <v>451</v>
      </c>
      <c r="D123" s="77" t="s">
        <v>446</v>
      </c>
      <c r="E123" s="7"/>
      <c r="F123" s="7"/>
      <c r="G123" s="7"/>
      <c r="H123" s="7"/>
      <c r="I123" s="66"/>
    </row>
    <row r="124" spans="1:9" ht="12.5" x14ac:dyDescent="0.25">
      <c r="A124" s="65"/>
      <c r="B124" s="12"/>
      <c r="C124" s="61"/>
      <c r="E124" s="7"/>
      <c r="F124" s="7"/>
      <c r="G124" s="7"/>
      <c r="H124" s="7"/>
      <c r="I124" s="66"/>
    </row>
    <row r="125" spans="1:9" ht="12.5" x14ac:dyDescent="0.25">
      <c r="A125" s="67" t="s">
        <v>58</v>
      </c>
      <c r="B125" s="425"/>
      <c r="C125" s="205" t="s">
        <v>30</v>
      </c>
      <c r="E125" s="7"/>
      <c r="F125" s="7"/>
      <c r="G125" s="7"/>
      <c r="H125" s="7"/>
      <c r="I125" s="66"/>
    </row>
    <row r="126" spans="1:9" ht="12.5" x14ac:dyDescent="0.25">
      <c r="A126" s="67" t="s">
        <v>98</v>
      </c>
      <c r="B126" s="189">
        <f>'Calculations - Single'!BC105</f>
        <v>0.14430202324089428</v>
      </c>
      <c r="C126" s="205" t="s">
        <v>97</v>
      </c>
      <c r="E126" s="7"/>
      <c r="F126" s="7"/>
      <c r="G126" s="7"/>
      <c r="H126" s="7"/>
      <c r="I126" s="66"/>
    </row>
    <row r="127" spans="1:9" ht="12.5" x14ac:dyDescent="0.25">
      <c r="A127" s="204" t="s">
        <v>180</v>
      </c>
      <c r="B127" s="608">
        <f>MAX(2.2,Cinmin)</f>
        <v>2.2000000000000002</v>
      </c>
      <c r="C127" s="205" t="s">
        <v>97</v>
      </c>
      <c r="E127" s="7"/>
      <c r="F127" s="7"/>
      <c r="G127" s="7"/>
      <c r="H127" s="7"/>
      <c r="I127" s="66"/>
    </row>
    <row r="128" spans="1:9" ht="12.5" x14ac:dyDescent="0.25">
      <c r="A128" s="67" t="s">
        <v>28</v>
      </c>
      <c r="B128" s="563">
        <f>'LM(2)518x PSR flyback converter'!E18</f>
        <v>10</v>
      </c>
      <c r="C128" s="205" t="s">
        <v>97</v>
      </c>
      <c r="D128" s="7" t="s">
        <v>60</v>
      </c>
      <c r="F128" s="7"/>
      <c r="G128" s="7"/>
      <c r="H128" s="7"/>
      <c r="I128" s="66"/>
    </row>
    <row r="129" spans="1:9" ht="12.5" x14ac:dyDescent="0.25">
      <c r="A129" s="67"/>
      <c r="B129" s="561"/>
      <c r="C129" s="59"/>
      <c r="D129" s="7"/>
      <c r="F129" s="7"/>
      <c r="G129" s="7"/>
      <c r="H129" s="7"/>
      <c r="I129" s="66"/>
    </row>
    <row r="130" spans="1:9" ht="12.5" x14ac:dyDescent="0.25">
      <c r="A130" s="68" t="s">
        <v>99</v>
      </c>
      <c r="B130" s="424">
        <f>(Vinripple1-B133*B135/Cin)/B134</f>
        <v>1.6391438610125513</v>
      </c>
      <c r="C130" s="114" t="s">
        <v>45</v>
      </c>
      <c r="D130" s="7"/>
      <c r="F130" s="7"/>
      <c r="G130" s="7"/>
      <c r="H130" s="7"/>
      <c r="I130" s="66"/>
    </row>
    <row r="131" spans="1:9" ht="12.5" x14ac:dyDescent="0.25">
      <c r="A131" s="67" t="s">
        <v>37</v>
      </c>
      <c r="B131" s="60">
        <f>'LM(2)518x PSR flyback converter'!E19/1000</f>
        <v>3.0000000000000001E-3</v>
      </c>
      <c r="C131" s="114" t="s">
        <v>45</v>
      </c>
      <c r="D131" s="78" t="s">
        <v>109</v>
      </c>
      <c r="F131" s="7"/>
      <c r="G131" s="7"/>
      <c r="H131" s="7"/>
      <c r="I131" s="66"/>
    </row>
    <row r="132" spans="1:9" x14ac:dyDescent="0.3">
      <c r="A132" s="204" t="s">
        <v>182</v>
      </c>
      <c r="B132" s="373">
        <f>'LM(2)518x PSR flyback converter'!E19</f>
        <v>3</v>
      </c>
      <c r="C132" s="17" t="s">
        <v>161</v>
      </c>
      <c r="D132" s="78"/>
      <c r="F132" s="7"/>
      <c r="G132" s="7"/>
      <c r="H132" s="7"/>
      <c r="I132" s="66"/>
    </row>
    <row r="133" spans="1:9" ht="12.5" x14ac:dyDescent="0.25">
      <c r="A133" s="204" t="s">
        <v>448</v>
      </c>
      <c r="B133" s="430">
        <f>Pout_total/VIN_nom/Efficiency</f>
        <v>0.16666666666666669</v>
      </c>
      <c r="C133" s="78" t="s">
        <v>1</v>
      </c>
      <c r="D133" s="78"/>
      <c r="F133" s="7"/>
      <c r="G133" s="7"/>
      <c r="H133" s="7"/>
      <c r="I133" s="66"/>
    </row>
    <row r="134" spans="1:9" ht="12.5" x14ac:dyDescent="0.25">
      <c r="A134" s="204" t="s">
        <v>452</v>
      </c>
      <c r="B134" s="430">
        <f>CHOOSE(MODE, 'Calculations - Single'!AJ105, 'Calculations - Dual'!$AI$105)</f>
        <v>0.95618288746751501</v>
      </c>
      <c r="C134" s="78" t="s">
        <v>1</v>
      </c>
      <c r="D134" s="78"/>
      <c r="F134" s="7"/>
      <c r="G134" s="7"/>
      <c r="H134" s="7"/>
      <c r="I134" s="66"/>
    </row>
    <row r="135" spans="1:9" ht="12.5" x14ac:dyDescent="0.25">
      <c r="A135" s="204" t="s">
        <v>449</v>
      </c>
      <c r="B135" s="430">
        <f>CHOOSE(MODE, 'Calculations - Single'!AU105, 'Calculations - Dual'!$AT$105)</f>
        <v>1.9607214001420619</v>
      </c>
      <c r="C135" s="205" t="s">
        <v>247</v>
      </c>
      <c r="D135" s="78"/>
      <c r="F135" s="7"/>
      <c r="G135" s="7"/>
      <c r="H135" s="7"/>
      <c r="I135" s="66"/>
    </row>
    <row r="136" spans="1:9" ht="12.5" x14ac:dyDescent="0.25">
      <c r="A136" s="204" t="s">
        <v>447</v>
      </c>
      <c r="B136" s="189">
        <f>CHOOSE(MODE, 'Calculations - Single'!BD105, 'Calculations - Dual'!$BB$105)</f>
        <v>33.178690002367702</v>
      </c>
      <c r="C136" s="205" t="s">
        <v>450</v>
      </c>
      <c r="D136" s="77" t="s">
        <v>453</v>
      </c>
      <c r="E136" s="564"/>
      <c r="F136" s="205"/>
      <c r="G136" s="7"/>
      <c r="H136" s="7"/>
      <c r="I136" s="66"/>
    </row>
    <row r="137" spans="1:9" thickBot="1" x14ac:dyDescent="0.3">
      <c r="A137" s="69"/>
      <c r="B137" s="70"/>
      <c r="C137" s="70"/>
      <c r="D137" s="70"/>
      <c r="E137" s="71"/>
      <c r="F137" s="71"/>
      <c r="G137" s="71"/>
      <c r="H137" s="71"/>
      <c r="I137" s="72"/>
    </row>
    <row r="138" spans="1:9" x14ac:dyDescent="0.3">
      <c r="A138" s="7"/>
      <c r="B138" s="7"/>
      <c r="C138" s="40"/>
      <c r="D138" s="7"/>
      <c r="E138" s="7"/>
      <c r="F138" s="7"/>
      <c r="G138" s="7"/>
      <c r="H138" s="7"/>
      <c r="I138" s="7"/>
    </row>
    <row r="139" spans="1:9" ht="16" thickBot="1" x14ac:dyDescent="0.4">
      <c r="A139" s="51" t="s">
        <v>62</v>
      </c>
      <c r="B139" s="7"/>
      <c r="C139" s="40"/>
      <c r="D139" s="7"/>
      <c r="E139" s="7"/>
      <c r="F139" s="7"/>
      <c r="G139" s="7"/>
      <c r="H139" s="7"/>
      <c r="I139" s="7"/>
    </row>
    <row r="140" spans="1:9" ht="12.5" x14ac:dyDescent="0.25">
      <c r="A140" s="53" t="s">
        <v>64</v>
      </c>
      <c r="B140" s="9">
        <f>'LM(2)518x PSR flyback converter'!E30/1000</f>
        <v>8.9999999999999993E-3</v>
      </c>
      <c r="C140" s="31" t="s">
        <v>51</v>
      </c>
      <c r="D140" s="80" t="s">
        <v>176</v>
      </c>
      <c r="E140" s="31"/>
      <c r="F140" s="31"/>
      <c r="G140" s="31"/>
      <c r="H140" s="31"/>
      <c r="I140" s="32"/>
    </row>
    <row r="141" spans="1:9" ht="12.5" x14ac:dyDescent="0.25">
      <c r="A141" s="24" t="s">
        <v>65</v>
      </c>
      <c r="B141" s="199">
        <v>5.0000000000000004E-6</v>
      </c>
      <c r="C141" s="7" t="s">
        <v>1</v>
      </c>
      <c r="D141" s="78" t="s">
        <v>307</v>
      </c>
      <c r="E141" s="7"/>
      <c r="F141" s="7"/>
      <c r="G141" s="7"/>
      <c r="H141" s="7"/>
      <c r="I141" s="25"/>
    </row>
    <row r="142" spans="1:9" ht="12.5" x14ac:dyDescent="0.25">
      <c r="A142" s="24" t="s">
        <v>66</v>
      </c>
      <c r="B142" s="199">
        <f>0.000005*Tss/1</f>
        <v>4.4999999999999999E-8</v>
      </c>
      <c r="C142" s="7" t="s">
        <v>13</v>
      </c>
      <c r="D142" s="78" t="s">
        <v>309</v>
      </c>
      <c r="E142" s="7"/>
      <c r="F142" s="7"/>
      <c r="G142" s="7"/>
      <c r="H142" s="7"/>
      <c r="I142" s="25"/>
    </row>
    <row r="143" spans="1:9" thickBot="1" x14ac:dyDescent="0.3">
      <c r="A143" s="28" t="s">
        <v>72</v>
      </c>
      <c r="B143" s="200">
        <f>'Standard Value Calculator'!B4</f>
        <v>4.6999999999999997E-8</v>
      </c>
      <c r="C143" s="29" t="s">
        <v>13</v>
      </c>
      <c r="D143" s="81" t="s">
        <v>310</v>
      </c>
      <c r="E143" s="29"/>
      <c r="F143" s="29"/>
      <c r="G143" s="29"/>
      <c r="H143" s="29"/>
      <c r="I143" s="30"/>
    </row>
    <row r="145" spans="1:9" ht="16" thickBot="1" x14ac:dyDescent="0.4">
      <c r="A145" s="51" t="s">
        <v>569</v>
      </c>
      <c r="B145" s="7"/>
      <c r="C145" s="40"/>
      <c r="D145" s="7"/>
      <c r="E145" s="7"/>
      <c r="F145" s="7"/>
      <c r="G145" s="7"/>
      <c r="H145" s="7"/>
      <c r="I145" s="7"/>
    </row>
    <row r="146" spans="1:9" ht="12.75" customHeight="1" x14ac:dyDescent="0.3">
      <c r="A146" s="110"/>
      <c r="B146" s="54"/>
      <c r="C146" s="160"/>
      <c r="D146" s="80"/>
      <c r="E146" s="31"/>
      <c r="F146" s="31"/>
      <c r="G146" s="31"/>
      <c r="H146" s="31"/>
      <c r="I146" s="32"/>
    </row>
    <row r="147" spans="1:9" ht="12.75" customHeight="1" x14ac:dyDescent="0.25">
      <c r="A147" s="111" t="s">
        <v>111</v>
      </c>
      <c r="B147" s="190">
        <v>1.5</v>
      </c>
      <c r="C147" s="78" t="s">
        <v>0</v>
      </c>
      <c r="D147" s="78"/>
      <c r="E147" s="7"/>
      <c r="F147" s="7"/>
      <c r="G147" s="7"/>
      <c r="H147" s="7"/>
      <c r="I147" s="25"/>
    </row>
    <row r="148" spans="1:9" ht="12.75" customHeight="1" x14ac:dyDescent="0.25">
      <c r="A148" s="111" t="s">
        <v>112</v>
      </c>
      <c r="B148" s="190">
        <v>1.45</v>
      </c>
      <c r="C148" s="78" t="s">
        <v>0</v>
      </c>
      <c r="D148" s="78"/>
      <c r="E148" s="7"/>
      <c r="F148" s="7"/>
      <c r="G148" s="7"/>
      <c r="H148" s="7"/>
      <c r="I148" s="25"/>
    </row>
    <row r="149" spans="1:9" ht="12.75" customHeight="1" x14ac:dyDescent="0.25">
      <c r="A149" s="111" t="s">
        <v>148</v>
      </c>
      <c r="B149" s="37">
        <f>B147-B148</f>
        <v>5.0000000000000044E-2</v>
      </c>
      <c r="C149" s="78" t="s">
        <v>0</v>
      </c>
      <c r="D149" s="78"/>
      <c r="E149" s="7"/>
      <c r="F149" s="7"/>
      <c r="G149" s="7"/>
      <c r="H149" s="7"/>
      <c r="I149" s="25"/>
    </row>
    <row r="150" spans="1:9" ht="12.75" customHeight="1" x14ac:dyDescent="0.25">
      <c r="A150" s="111" t="s">
        <v>377</v>
      </c>
      <c r="B150" s="7">
        <v>0</v>
      </c>
      <c r="C150" s="112" t="s">
        <v>1</v>
      </c>
      <c r="D150" s="78"/>
      <c r="E150" s="7"/>
      <c r="F150" s="7"/>
      <c r="G150" s="7"/>
      <c r="H150" s="7"/>
      <c r="I150" s="25"/>
    </row>
    <row r="151" spans="1:9" ht="12.75" customHeight="1" x14ac:dyDescent="0.25">
      <c r="A151" s="111" t="s">
        <v>376</v>
      </c>
      <c r="B151" s="529">
        <v>5.0000000000000001E-3</v>
      </c>
      <c r="C151" s="112" t="s">
        <v>30</v>
      </c>
      <c r="D151" s="78"/>
      <c r="E151" s="7"/>
      <c r="F151" s="7"/>
      <c r="G151" s="7"/>
      <c r="H151" s="7"/>
      <c r="I151" s="25"/>
    </row>
    <row r="152" spans="1:9" ht="12.75" customHeight="1" x14ac:dyDescent="0.25">
      <c r="A152" s="111" t="s">
        <v>375</v>
      </c>
      <c r="B152" s="530">
        <f>Iuvlo2-Iuvlo1</f>
        <v>5.0000000000000001E-3</v>
      </c>
      <c r="C152" s="112" t="s">
        <v>30</v>
      </c>
      <c r="D152" s="78"/>
      <c r="F152" s="7"/>
      <c r="G152" s="7"/>
      <c r="H152" s="7"/>
      <c r="I152" s="25"/>
    </row>
    <row r="153" spans="1:9" ht="12.75" customHeight="1" x14ac:dyDescent="0.3">
      <c r="A153" s="111"/>
      <c r="B153" s="37"/>
      <c r="C153" s="381"/>
      <c r="D153" s="78"/>
      <c r="E153" s="7"/>
      <c r="F153" s="7"/>
      <c r="G153" s="7"/>
      <c r="H153" s="7"/>
      <c r="I153" s="25"/>
    </row>
    <row r="154" spans="1:9" ht="12.75" customHeight="1" x14ac:dyDescent="0.4">
      <c r="A154" s="111" t="s">
        <v>110</v>
      </c>
      <c r="B154" s="188">
        <f>'LM(2)518x PSR flyback converter'!E36</f>
        <v>10</v>
      </c>
      <c r="C154" s="112" t="s">
        <v>0</v>
      </c>
      <c r="E154" s="7"/>
      <c r="F154" s="7"/>
      <c r="G154" s="7"/>
      <c r="H154" s="7"/>
      <c r="I154" s="25"/>
    </row>
    <row r="155" spans="1:9" ht="12.75" customHeight="1" x14ac:dyDescent="0.4">
      <c r="A155" s="111" t="s">
        <v>294</v>
      </c>
      <c r="B155" s="188">
        <f>'LM(2)518x PSR flyback converter'!E37</f>
        <v>8</v>
      </c>
      <c r="C155" s="112" t="s">
        <v>0</v>
      </c>
      <c r="E155" s="7"/>
      <c r="F155" s="7"/>
      <c r="G155" s="7"/>
      <c r="H155" s="7"/>
      <c r="I155" s="25"/>
    </row>
    <row r="156" spans="1:9" ht="12.75" customHeight="1" x14ac:dyDescent="0.25">
      <c r="A156" s="111"/>
      <c r="B156" s="37"/>
      <c r="C156" s="112"/>
      <c r="E156" s="7"/>
      <c r="F156" s="7"/>
      <c r="G156" s="7"/>
      <c r="H156" s="7"/>
      <c r="I156" s="25"/>
    </row>
    <row r="157" spans="1:9" ht="12.75" customHeight="1" x14ac:dyDescent="0.4">
      <c r="A157" s="111" t="s">
        <v>126</v>
      </c>
      <c r="B157" s="600">
        <f>(VINuvlo_off-VINuvlo_on*Vuvlo_off/Vuvlo_on)/(Iuvlo1*Vuvlo_off/Vuvlo_on-Iuvlo2)</f>
        <v>333.3333333333332</v>
      </c>
      <c r="C157" s="17" t="s">
        <v>113</v>
      </c>
      <c r="D157" s="7">
        <f>'Standard Value Calculator'!J16</f>
        <v>332</v>
      </c>
      <c r="E157" s="17" t="s">
        <v>113</v>
      </c>
      <c r="F157" s="37">
        <f>IF(Ruvlo1&lt;0,"N/A",D157)</f>
        <v>332</v>
      </c>
      <c r="G157" s="37" t="str">
        <f>IF(Ruvlo1&lt;0,"N/A",D157&amp;"kΩ")</f>
        <v>332kΩ</v>
      </c>
      <c r="I157" s="25"/>
    </row>
    <row r="158" spans="1:9" ht="12.75" customHeight="1" x14ac:dyDescent="0.4">
      <c r="A158" s="111" t="s">
        <v>127</v>
      </c>
      <c r="B158" s="191">
        <f>D157*Vuvlo_on/(VINuvlo_on-Vuvlo_on+Ruvlo1*Iuvlo1)</f>
        <v>58.588235294117645</v>
      </c>
      <c r="C158" s="17" t="s">
        <v>113</v>
      </c>
      <c r="D158" s="7">
        <f>'Standard Value Calculator'!J17</f>
        <v>59</v>
      </c>
      <c r="E158" s="17" t="s">
        <v>113</v>
      </c>
      <c r="F158" s="37">
        <f>IF(F157="N/A","N/A",D158)</f>
        <v>59</v>
      </c>
      <c r="G158" s="37" t="str">
        <f>IF(G157="N/A","N/A",D158&amp;"kΩ")</f>
        <v>59kΩ</v>
      </c>
      <c r="I158" s="25"/>
    </row>
    <row r="159" spans="1:9" ht="12.75" customHeight="1" x14ac:dyDescent="0.3">
      <c r="A159" s="111"/>
      <c r="B159" s="113"/>
      <c r="C159" s="17"/>
      <c r="D159" s="37"/>
      <c r="E159" s="17"/>
      <c r="F159" s="37"/>
      <c r="G159" s="37"/>
      <c r="I159" s="25"/>
    </row>
    <row r="160" spans="1:9" ht="12.75" customHeight="1" x14ac:dyDescent="0.4">
      <c r="A160" s="111" t="s">
        <v>114</v>
      </c>
      <c r="B160" s="601">
        <f>(D157+D158)/D158*Vuvlo_on</f>
        <v>9.9406779661016955</v>
      </c>
      <c r="C160" s="3" t="s">
        <v>0</v>
      </c>
      <c r="E160" s="7"/>
      <c r="F160" s="17"/>
      <c r="G160" s="7"/>
      <c r="H160" s="7"/>
      <c r="I160" s="25"/>
    </row>
    <row r="161" spans="1:9" ht="12.75" customHeight="1" x14ac:dyDescent="0.4">
      <c r="A161" s="111" t="s">
        <v>115</v>
      </c>
      <c r="B161" s="601">
        <f>(D157+D158)/D158*Vuvlo_off-Iuvlo2*D157</f>
        <v>7.9493220338983051</v>
      </c>
      <c r="C161" s="3" t="s">
        <v>0</v>
      </c>
      <c r="E161" s="7"/>
      <c r="F161" s="17"/>
      <c r="G161" s="7"/>
      <c r="H161" s="7"/>
      <c r="I161" s="25"/>
    </row>
    <row r="162" spans="1:9" ht="12.75" customHeight="1" thickBot="1" x14ac:dyDescent="0.35">
      <c r="A162" s="28"/>
      <c r="B162" s="38"/>
      <c r="C162" s="161"/>
      <c r="D162" s="29"/>
      <c r="E162" s="29"/>
      <c r="F162" s="29"/>
      <c r="G162" s="29"/>
      <c r="H162" s="29"/>
      <c r="I162" s="30"/>
    </row>
    <row r="163" spans="1:9" x14ac:dyDescent="0.3">
      <c r="B163" s="16"/>
      <c r="C163" s="162"/>
    </row>
    <row r="164" spans="1:9" ht="16" thickBot="1" x14ac:dyDescent="0.4">
      <c r="A164" s="51" t="s">
        <v>529</v>
      </c>
      <c r="B164" s="7"/>
      <c r="C164" s="40"/>
      <c r="D164" s="7"/>
      <c r="E164" s="7"/>
      <c r="F164" s="7"/>
      <c r="G164" s="7"/>
      <c r="H164" s="7"/>
      <c r="I164" s="7"/>
    </row>
    <row r="165" spans="1:9" x14ac:dyDescent="0.3">
      <c r="A165" s="179" t="s">
        <v>16</v>
      </c>
      <c r="B165" s="180">
        <v>3.1415926500000002</v>
      </c>
      <c r="C165" s="181"/>
      <c r="D165" s="182" t="s">
        <v>170</v>
      </c>
      <c r="E165" s="31"/>
      <c r="F165" s="31"/>
      <c r="G165" s="31"/>
      <c r="H165" s="31"/>
      <c r="I165" s="32"/>
    </row>
    <row r="166" spans="1:9" x14ac:dyDescent="0.3">
      <c r="A166" s="77" t="s">
        <v>185</v>
      </c>
      <c r="B166" s="208"/>
      <c r="C166" s="183" t="s">
        <v>184</v>
      </c>
      <c r="D166" s="185" t="s">
        <v>561</v>
      </c>
      <c r="I166" s="25"/>
    </row>
    <row r="167" spans="1:9" x14ac:dyDescent="0.3">
      <c r="A167" s="77" t="s">
        <v>186</v>
      </c>
      <c r="B167" s="208"/>
      <c r="C167" s="183" t="s">
        <v>184</v>
      </c>
      <c r="D167" s="185"/>
      <c r="I167" s="25"/>
    </row>
    <row r="168" spans="1:9" ht="12.5" x14ac:dyDescent="0.25">
      <c r="C168" s="7"/>
      <c r="D168" s="7"/>
      <c r="F168" s="7"/>
      <c r="G168" s="7"/>
      <c r="H168" s="7"/>
      <c r="I168" s="25"/>
    </row>
    <row r="169" spans="1:9" x14ac:dyDescent="0.3">
      <c r="A169" s="111" t="s">
        <v>393</v>
      </c>
      <c r="B169" s="173">
        <f>(Vout+Vfwd1)*Nps*10</f>
        <v>195.84</v>
      </c>
      <c r="C169" s="17" t="s">
        <v>113</v>
      </c>
      <c r="D169" s="78" t="s">
        <v>531</v>
      </c>
      <c r="F169" s="7"/>
      <c r="G169" s="7"/>
      <c r="H169" s="7"/>
      <c r="I169" s="25">
        <v>1</v>
      </c>
    </row>
    <row r="170" spans="1:9" x14ac:dyDescent="0.3">
      <c r="A170" s="34" t="s">
        <v>530</v>
      </c>
      <c r="B170" s="178">
        <f>Rfb/1000</f>
        <v>196</v>
      </c>
      <c r="C170" s="17" t="s">
        <v>113</v>
      </c>
      <c r="D170" s="78" t="s">
        <v>528</v>
      </c>
      <c r="F170" s="7"/>
      <c r="G170" s="7"/>
      <c r="H170" s="7"/>
      <c r="I170" s="25"/>
    </row>
    <row r="171" spans="1:9" x14ac:dyDescent="0.3">
      <c r="A171" s="111" t="s">
        <v>53</v>
      </c>
      <c r="B171" s="36">
        <f>'Standard Value Calculator'!J10/1000</f>
        <v>196</v>
      </c>
      <c r="C171" s="17" t="s">
        <v>113</v>
      </c>
      <c r="D171" s="78" t="s">
        <v>361</v>
      </c>
      <c r="F171" s="7"/>
      <c r="G171" s="7"/>
      <c r="H171" s="7"/>
      <c r="I171" s="25"/>
    </row>
    <row r="172" spans="1:9" x14ac:dyDescent="0.3">
      <c r="A172" s="78"/>
      <c r="B172" s="12"/>
      <c r="C172" s="17"/>
      <c r="D172" s="78"/>
      <c r="F172" s="7"/>
      <c r="G172" s="7"/>
      <c r="H172" s="7"/>
      <c r="I172" s="25"/>
    </row>
    <row r="173" spans="1:9" x14ac:dyDescent="0.3">
      <c r="A173" s="112" t="s">
        <v>532</v>
      </c>
      <c r="B173" s="603">
        <f>'LM(2)518x PSR flyback converter'!E33</f>
        <v>-1.5</v>
      </c>
      <c r="C173" s="112" t="s">
        <v>386</v>
      </c>
      <c r="D173" s="78"/>
      <c r="F173" s="7"/>
      <c r="G173" s="7"/>
      <c r="H173" s="7"/>
      <c r="I173" s="25"/>
    </row>
    <row r="174" spans="1:9" ht="15.5" x14ac:dyDescent="0.4">
      <c r="A174" s="24" t="s">
        <v>527</v>
      </c>
      <c r="B174" s="375">
        <f>3*B170/Nps/ABS(Diode_TC)*1000</f>
        <v>326666.66666666669</v>
      </c>
      <c r="C174" s="17" t="s">
        <v>136</v>
      </c>
      <c r="D174" s="78"/>
      <c r="F174" s="7"/>
      <c r="G174" s="7"/>
      <c r="H174" s="7"/>
      <c r="I174" s="25"/>
    </row>
    <row r="175" spans="1:9" x14ac:dyDescent="0.3">
      <c r="A175" s="12" t="s">
        <v>533</v>
      </c>
      <c r="B175" s="171">
        <f>'Standard Value Calculator'!J9/1000</f>
        <v>324</v>
      </c>
      <c r="C175" s="17" t="s">
        <v>113</v>
      </c>
      <c r="D175" s="78"/>
      <c r="F175" s="7"/>
      <c r="G175" s="7"/>
      <c r="H175" s="7"/>
      <c r="I175" s="25"/>
    </row>
    <row r="176" spans="1:9" ht="13.5" thickBot="1" x14ac:dyDescent="0.35">
      <c r="A176" s="184"/>
      <c r="B176" s="184"/>
      <c r="C176" s="41"/>
      <c r="D176" s="29"/>
      <c r="E176" s="41"/>
      <c r="F176" s="29"/>
      <c r="G176" s="29"/>
      <c r="H176" s="29"/>
      <c r="I176" s="30"/>
    </row>
    <row r="177" spans="1:9" x14ac:dyDescent="0.3">
      <c r="A177" s="2"/>
      <c r="B177" s="18"/>
      <c r="C177" s="18"/>
      <c r="E177" s="18"/>
    </row>
    <row r="178" spans="1:9" x14ac:dyDescent="0.3">
      <c r="A178" s="2"/>
      <c r="B178" s="18"/>
      <c r="C178" s="18"/>
      <c r="E178" s="18"/>
    </row>
    <row r="179" spans="1:9" ht="16" thickBot="1" x14ac:dyDescent="0.4">
      <c r="A179" s="55" t="s">
        <v>83</v>
      </c>
      <c r="B179" s="7"/>
      <c r="C179" s="40"/>
      <c r="D179" s="7"/>
      <c r="E179" s="7"/>
      <c r="F179" s="7"/>
      <c r="G179" s="7"/>
      <c r="H179" s="7"/>
      <c r="I179" s="7"/>
    </row>
    <row r="180" spans="1:9" x14ac:dyDescent="0.3">
      <c r="A180" s="53"/>
      <c r="B180" s="31"/>
      <c r="C180" s="163"/>
      <c r="D180" s="31"/>
      <c r="E180" s="31"/>
      <c r="F180" s="31"/>
      <c r="G180" s="31"/>
      <c r="H180" s="31"/>
      <c r="I180" s="32"/>
    </row>
    <row r="181" spans="1:9" x14ac:dyDescent="0.3">
      <c r="A181" s="34" t="s">
        <v>26</v>
      </c>
      <c r="B181" s="7"/>
      <c r="C181" s="40"/>
      <c r="D181" s="7"/>
      <c r="E181" s="7"/>
      <c r="F181" s="7"/>
      <c r="G181" s="7"/>
      <c r="H181" s="7"/>
      <c r="I181" s="25"/>
    </row>
    <row r="182" spans="1:9" ht="12.5" x14ac:dyDescent="0.25">
      <c r="A182" s="24" t="s">
        <v>36</v>
      </c>
      <c r="B182" s="134">
        <f>'LM(2)518x PSR flyback converter'!E45</f>
        <v>55</v>
      </c>
      <c r="C182" s="78" t="s">
        <v>102</v>
      </c>
      <c r="D182" s="7" t="s">
        <v>40</v>
      </c>
      <c r="F182" s="7"/>
      <c r="G182" s="7"/>
      <c r="H182" s="7"/>
      <c r="I182" s="25"/>
    </row>
    <row r="183" spans="1:9" x14ac:dyDescent="0.3">
      <c r="A183" s="34" t="s">
        <v>29</v>
      </c>
      <c r="B183" s="7"/>
      <c r="C183" s="7"/>
      <c r="D183" s="7"/>
      <c r="F183" s="7"/>
      <c r="G183" s="7"/>
      <c r="H183" s="7"/>
      <c r="I183" s="25"/>
    </row>
    <row r="184" spans="1:9" ht="12.5" x14ac:dyDescent="0.25">
      <c r="A184" s="24" t="s">
        <v>35</v>
      </c>
      <c r="B184" s="27">
        <f>4000/1000000</f>
        <v>4.0000000000000001E-3</v>
      </c>
      <c r="C184" s="78" t="s">
        <v>138</v>
      </c>
      <c r="D184" s="78" t="s">
        <v>562</v>
      </c>
      <c r="F184" s="7"/>
      <c r="G184" s="7"/>
      <c r="H184" s="7"/>
      <c r="I184" s="25"/>
    </row>
    <row r="185" spans="1:9" ht="15.5" x14ac:dyDescent="0.4">
      <c r="A185" s="111" t="s">
        <v>177</v>
      </c>
      <c r="B185" s="27">
        <v>20</v>
      </c>
      <c r="C185" s="112" t="s">
        <v>84</v>
      </c>
      <c r="D185" s="78" t="s">
        <v>563</v>
      </c>
      <c r="F185" s="7"/>
      <c r="G185" s="7"/>
      <c r="H185" s="7"/>
      <c r="I185" s="25"/>
    </row>
    <row r="186" spans="1:9" ht="12.5" x14ac:dyDescent="0.25">
      <c r="A186" s="24" t="s">
        <v>37</v>
      </c>
      <c r="B186" s="10">
        <f>RCinEsr</f>
        <v>3.0000000000000001E-3</v>
      </c>
      <c r="C186" s="114" t="s">
        <v>45</v>
      </c>
      <c r="D186" s="78" t="s">
        <v>178</v>
      </c>
      <c r="F186" s="7"/>
      <c r="G186" s="7"/>
      <c r="H186" s="7"/>
      <c r="I186" s="25"/>
    </row>
    <row r="187" spans="1:9" ht="12.5" x14ac:dyDescent="0.25">
      <c r="A187" s="24"/>
      <c r="B187" s="10"/>
      <c r="C187" s="114"/>
      <c r="D187" s="78"/>
      <c r="F187" s="7"/>
      <c r="G187" s="7"/>
      <c r="H187" s="7"/>
      <c r="I187" s="25"/>
    </row>
    <row r="188" spans="1:9" x14ac:dyDescent="0.3">
      <c r="A188" s="33" t="s">
        <v>52</v>
      </c>
      <c r="B188" s="7"/>
      <c r="C188" s="7"/>
      <c r="D188" s="7"/>
      <c r="F188" s="7"/>
      <c r="G188" s="7"/>
      <c r="H188" s="7"/>
      <c r="I188" s="25"/>
    </row>
    <row r="189" spans="1:9" x14ac:dyDescent="0.3">
      <c r="A189" s="111" t="s">
        <v>284</v>
      </c>
      <c r="B189" s="27">
        <f>Vdd</f>
        <v>5</v>
      </c>
      <c r="C189" s="61" t="s">
        <v>0</v>
      </c>
      <c r="D189" s="186"/>
      <c r="F189" s="7"/>
      <c r="G189" s="7"/>
      <c r="H189" s="7"/>
      <c r="I189" s="25"/>
    </row>
    <row r="190" spans="1:9" ht="12.5" x14ac:dyDescent="0.25">
      <c r="A190" s="24" t="s">
        <v>49</v>
      </c>
      <c r="B190" s="35">
        <f>IQ</f>
        <v>2.9E-4</v>
      </c>
      <c r="C190" s="7" t="s">
        <v>1</v>
      </c>
      <c r="D190" s="7" t="s">
        <v>50</v>
      </c>
      <c r="F190" s="7"/>
      <c r="G190" s="7"/>
      <c r="H190" s="7"/>
      <c r="I190" s="25"/>
    </row>
    <row r="191" spans="1:9" ht="12.5" x14ac:dyDescent="0.25">
      <c r="A191" s="24"/>
      <c r="B191" s="7"/>
      <c r="C191" s="7"/>
      <c r="D191" s="7"/>
      <c r="F191" s="7"/>
      <c r="G191" s="7"/>
      <c r="H191" s="7"/>
      <c r="I191" s="25"/>
    </row>
    <row r="192" spans="1:9" x14ac:dyDescent="0.3">
      <c r="A192" s="56" t="s">
        <v>172</v>
      </c>
      <c r="B192" s="43" t="s">
        <v>6</v>
      </c>
      <c r="C192" s="14" t="s">
        <v>33</v>
      </c>
      <c r="D192" s="7"/>
      <c r="F192" s="7"/>
      <c r="G192" s="7"/>
      <c r="H192" s="7"/>
      <c r="I192" s="25"/>
    </row>
    <row r="193" spans="1:9" ht="12.5" x14ac:dyDescent="0.25">
      <c r="A193" s="57" t="s">
        <v>44</v>
      </c>
      <c r="B193" s="44"/>
      <c r="C193" s="45" t="s">
        <v>45</v>
      </c>
      <c r="D193" s="7"/>
      <c r="F193" s="7"/>
      <c r="G193" s="7"/>
      <c r="H193" s="7"/>
      <c r="I193" s="25"/>
    </row>
    <row r="194" spans="1:9" ht="12.5" x14ac:dyDescent="0.25">
      <c r="A194" s="57" t="s">
        <v>46</v>
      </c>
      <c r="B194" s="13">
        <v>0</v>
      </c>
      <c r="C194" s="112" t="s">
        <v>102</v>
      </c>
      <c r="D194" s="7"/>
      <c r="F194" s="7"/>
      <c r="G194" s="7"/>
      <c r="H194" s="7"/>
      <c r="I194" s="25"/>
    </row>
    <row r="195" spans="1:9" ht="12.5" x14ac:dyDescent="0.25">
      <c r="A195" s="57" t="s">
        <v>87</v>
      </c>
      <c r="B195" s="13" t="e">
        <v>#NAME?</v>
      </c>
      <c r="C195" s="12" t="s">
        <v>1</v>
      </c>
      <c r="D195" s="7"/>
      <c r="F195" s="7"/>
      <c r="G195" s="7"/>
      <c r="H195" s="7"/>
      <c r="I195" s="25"/>
    </row>
    <row r="196" spans="1:9" ht="12.5" x14ac:dyDescent="0.25">
      <c r="A196" s="57" t="s">
        <v>88</v>
      </c>
      <c r="B196" s="12" t="e">
        <v>#NAME?</v>
      </c>
      <c r="C196" s="12" t="s">
        <v>1</v>
      </c>
      <c r="D196" s="7"/>
      <c r="F196" s="7"/>
      <c r="G196" s="7"/>
      <c r="H196" s="7"/>
      <c r="I196" s="25"/>
    </row>
    <row r="197" spans="1:9" ht="12.5" x14ac:dyDescent="0.25">
      <c r="A197" s="57" t="s">
        <v>89</v>
      </c>
      <c r="B197" s="12" t="e">
        <f>C197/Vin</f>
        <v>#NAME?</v>
      </c>
      <c r="C197" s="12" t="e">
        <v>#NAME?</v>
      </c>
      <c r="D197" s="7"/>
      <c r="F197" s="7"/>
      <c r="G197" s="7"/>
      <c r="H197" s="7"/>
      <c r="I197" s="25"/>
    </row>
    <row r="198" spans="1:9" ht="12.5" x14ac:dyDescent="0.25">
      <c r="A198" s="57" t="s">
        <v>91</v>
      </c>
      <c r="B198" s="12" t="e">
        <f>SUM(B195:B197)</f>
        <v>#NAME?</v>
      </c>
      <c r="C198" s="12" t="s">
        <v>1</v>
      </c>
      <c r="D198" s="7"/>
      <c r="F198" s="7"/>
      <c r="G198" s="7"/>
      <c r="H198" s="7"/>
      <c r="I198" s="25"/>
    </row>
    <row r="199" spans="1:9" ht="13.5" thickBot="1" x14ac:dyDescent="0.35">
      <c r="A199" s="28"/>
      <c r="B199" s="29"/>
      <c r="C199" s="164"/>
      <c r="D199" s="29"/>
      <c r="E199" s="29"/>
      <c r="F199" s="29"/>
      <c r="G199" s="29"/>
      <c r="H199" s="29"/>
      <c r="I199" s="30"/>
    </row>
    <row r="200" spans="1:9" x14ac:dyDescent="0.3">
      <c r="A200" s="2"/>
      <c r="B200" s="2"/>
      <c r="C200" s="2"/>
    </row>
    <row r="201" spans="1:9" ht="21.75" customHeight="1" thickBot="1" x14ac:dyDescent="0.4">
      <c r="A201" s="51" t="s">
        <v>85</v>
      </c>
      <c r="B201" s="7"/>
      <c r="C201" s="40"/>
      <c r="D201" s="7"/>
      <c r="E201" s="7"/>
      <c r="F201" s="7"/>
      <c r="G201" s="7"/>
      <c r="H201" s="7"/>
      <c r="I201" s="7"/>
    </row>
    <row r="202" spans="1:9" x14ac:dyDescent="0.3">
      <c r="A202" s="53"/>
      <c r="B202" s="31"/>
      <c r="C202" s="163"/>
      <c r="D202" s="31"/>
      <c r="E202" s="58"/>
      <c r="F202" s="58"/>
      <c r="G202" s="58"/>
      <c r="H202" s="58"/>
      <c r="I202" s="32"/>
    </row>
    <row r="203" spans="1:9" x14ac:dyDescent="0.3">
      <c r="A203" s="24"/>
      <c r="B203" s="112"/>
      <c r="C203" s="40"/>
      <c r="D203" s="7"/>
      <c r="E203" s="203"/>
      <c r="F203" s="203"/>
      <c r="G203" s="203"/>
      <c r="H203" s="203"/>
      <c r="I203" s="25"/>
    </row>
    <row r="204" spans="1:9" x14ac:dyDescent="0.3">
      <c r="A204" s="24" t="str">
        <f>"RUV1 = "&amp;'LM(2)518x PSR flyback converter'!E38&amp;"MΩ"</f>
        <v>RUV1 = 332MΩ</v>
      </c>
      <c r="B204" s="7" t="str">
        <f>C245</f>
        <v>332kΩ</v>
      </c>
      <c r="C204" s="40"/>
      <c r="D204" s="7"/>
      <c r="E204" s="203"/>
      <c r="F204" s="203"/>
      <c r="G204" s="203"/>
      <c r="H204" s="203"/>
      <c r="I204" s="25"/>
    </row>
    <row r="205" spans="1:9" x14ac:dyDescent="0.3">
      <c r="A205" s="24" t="str">
        <f>"RUV2 = "&amp;'LM(2)518x PSR flyback converter'!E39&amp;"kΩ"</f>
        <v>RUV2 = 59kΩ</v>
      </c>
      <c r="B205" s="7" t="str">
        <f>C246</f>
        <v>59kΩ</v>
      </c>
      <c r="C205" s="40"/>
      <c r="D205" s="7"/>
      <c r="E205" s="203"/>
      <c r="F205" s="203"/>
      <c r="G205" s="203"/>
      <c r="H205" s="203"/>
      <c r="I205" s="25"/>
    </row>
    <row r="206" spans="1:9" x14ac:dyDescent="0.3">
      <c r="A206" s="24"/>
      <c r="B206" s="7"/>
      <c r="C206" s="40"/>
      <c r="D206" s="7"/>
      <c r="E206" s="203"/>
      <c r="F206" s="203"/>
      <c r="G206" s="203"/>
      <c r="H206" s="203"/>
      <c r="I206" s="25"/>
    </row>
    <row r="207" spans="1:9" x14ac:dyDescent="0.3">
      <c r="A207" s="24" t="str">
        <f>"Lmag = "&amp;'LM(2)518x PSR flyback converter'!L7&amp;"µH"</f>
        <v>Lmag = 30µH</v>
      </c>
      <c r="B207" s="7" t="str">
        <f>'LM(2)518x PSR flyback converter'!L7&amp;"µH"</f>
        <v>30µH</v>
      </c>
      <c r="C207" s="40"/>
      <c r="D207" s="7"/>
      <c r="E207" s="7"/>
      <c r="F207" s="7"/>
      <c r="G207" s="7"/>
      <c r="H207" s="7"/>
      <c r="I207" s="25"/>
    </row>
    <row r="208" spans="1:9" x14ac:dyDescent="0.3">
      <c r="A208" s="24" t="str">
        <f>"Rdcr = "&amp;Rdcr_pri*1000&amp;"mΩ"</f>
        <v>Rdcr = 100mΩ</v>
      </c>
      <c r="B208" s="202" t="str">
        <f>Rdcr_pri*1000&amp;"mΩ"</f>
        <v>100mΩ</v>
      </c>
      <c r="C208" s="40"/>
      <c r="D208" s="7"/>
      <c r="E208" s="7"/>
      <c r="F208" s="7"/>
      <c r="G208" s="7"/>
      <c r="H208" s="7"/>
      <c r="I208" s="25"/>
    </row>
    <row r="209" spans="1:9" x14ac:dyDescent="0.3">
      <c r="A209" s="111" t="s">
        <v>391</v>
      </c>
      <c r="B209" s="202" t="str">
        <f>W52</f>
        <v>1.2 : 1 : 1</v>
      </c>
      <c r="C209" s="40"/>
      <c r="D209" s="7"/>
      <c r="E209" s="7"/>
      <c r="F209" s="7"/>
      <c r="G209" s="7"/>
      <c r="H209" s="7"/>
      <c r="I209" s="25"/>
    </row>
    <row r="210" spans="1:9" x14ac:dyDescent="0.3">
      <c r="A210" s="24"/>
      <c r="B210" s="202"/>
      <c r="C210" s="40"/>
      <c r="D210" s="7"/>
      <c r="E210" s="7"/>
      <c r="F210" s="7"/>
      <c r="G210" s="7"/>
      <c r="H210" s="7"/>
      <c r="I210" s="25"/>
    </row>
    <row r="211" spans="1:9" x14ac:dyDescent="0.3">
      <c r="A211" s="24" t="str">
        <f>"Css = "&amp;ROUND(Css_u*1000000000,1)&amp;"nF"</f>
        <v>Css = 47nF</v>
      </c>
      <c r="B211" s="7" t="str">
        <f>ROUND(Css_u*1000000000,1)&amp;"nF"</f>
        <v>47nF</v>
      </c>
      <c r="C211" s="40"/>
      <c r="D211" s="7"/>
      <c r="E211" s="7"/>
      <c r="F211" s="7"/>
      <c r="G211" s="7"/>
      <c r="H211" s="7"/>
      <c r="I211" s="25"/>
    </row>
    <row r="212" spans="1:9" x14ac:dyDescent="0.3">
      <c r="A212" s="24"/>
      <c r="B212" s="7"/>
      <c r="C212" s="40"/>
      <c r="D212" s="7"/>
      <c r="E212" s="7"/>
      <c r="F212" s="7"/>
      <c r="G212" s="7"/>
      <c r="H212" s="7"/>
      <c r="I212" s="25"/>
    </row>
    <row r="213" spans="1:9" x14ac:dyDescent="0.3">
      <c r="A213" s="24" t="s">
        <v>57</v>
      </c>
      <c r="B213" s="7" t="str">
        <f>VIN_nom&amp;"V"</f>
        <v>32V</v>
      </c>
      <c r="C213" s="40"/>
      <c r="D213" s="7"/>
      <c r="E213" s="7"/>
      <c r="F213" s="7"/>
      <c r="G213" s="7"/>
      <c r="H213" s="7"/>
      <c r="I213" s="25"/>
    </row>
    <row r="214" spans="1:9" x14ac:dyDescent="0.3">
      <c r="A214" s="111" t="s">
        <v>187</v>
      </c>
      <c r="B214" s="7" t="str">
        <f>VIN_min&amp;"V..."&amp;VIN_max&amp;"V"</f>
        <v>12V...48V</v>
      </c>
      <c r="C214" s="40"/>
      <c r="D214" s="7"/>
      <c r="E214" s="7"/>
      <c r="F214" s="7"/>
      <c r="G214" s="7"/>
      <c r="H214" s="7"/>
      <c r="I214" s="25"/>
    </row>
    <row r="215" spans="1:9" x14ac:dyDescent="0.3">
      <c r="A215" s="111"/>
      <c r="B215" s="7"/>
      <c r="C215" s="40"/>
      <c r="D215" s="7"/>
      <c r="E215" s="7"/>
      <c r="F215" s="7"/>
      <c r="G215" s="7"/>
      <c r="H215" s="7"/>
      <c r="I215" s="25"/>
    </row>
    <row r="216" spans="1:9" x14ac:dyDescent="0.3">
      <c r="A216" s="24" t="str">
        <f>"VOUT = "&amp;'LM(2)518x PSR flyback converter'!E10&amp;"V"</f>
        <v>VOUT = 16V</v>
      </c>
      <c r="B216" s="7" t="str">
        <f>'LM(2)518x PSR flyback converter'!E10&amp;"V"</f>
        <v>16V</v>
      </c>
      <c r="C216" s="40"/>
      <c r="D216" s="7">
        <f>MODE</f>
        <v>2</v>
      </c>
      <c r="E216" s="7"/>
      <c r="F216" s="7"/>
      <c r="G216" s="7"/>
      <c r="H216" s="7"/>
      <c r="I216" s="25"/>
    </row>
    <row r="217" spans="1:9" x14ac:dyDescent="0.3">
      <c r="A217" s="24" t="str">
        <f>"VOUT2 = "&amp;'LM(2)518x PSR flyback converter'!E12&amp;"V"</f>
        <v>VOUT2 = -16V</v>
      </c>
      <c r="B217" s="7" t="str">
        <f>IF(MODE_TOP="DUAL", 'LM(2)518x PSR flyback converter'!E12&amp;"V", "")</f>
        <v/>
      </c>
      <c r="C217" s="40"/>
      <c r="D217" s="78" t="b">
        <f>MODE=2</f>
        <v>1</v>
      </c>
      <c r="E217" s="7"/>
      <c r="F217" s="7"/>
      <c r="G217" s="7"/>
      <c r="H217" s="7"/>
      <c r="I217" s="25"/>
    </row>
    <row r="218" spans="1:9" x14ac:dyDescent="0.3">
      <c r="A218" s="24" t="str">
        <f>"VOUT2 = "&amp;'LM(2)518x PSR flyback converter'!E12&amp;"V"</f>
        <v>VOUT2 = -16V</v>
      </c>
      <c r="B218" s="7" t="str">
        <f>IF(MODE_TOP="BIPOLAR", 'LM(2)518x PSR flyback converter'!E12&amp;"V", "")</f>
        <v>-16V</v>
      </c>
      <c r="C218" s="40"/>
      <c r="D218" s="7"/>
      <c r="E218" s="7"/>
      <c r="F218" s="7"/>
      <c r="G218" s="7"/>
      <c r="H218" s="7"/>
      <c r="I218" s="25"/>
    </row>
    <row r="219" spans="1:9" x14ac:dyDescent="0.3">
      <c r="A219" s="24"/>
      <c r="B219" s="7"/>
      <c r="C219" s="40"/>
      <c r="D219" s="7"/>
      <c r="E219" s="7"/>
      <c r="F219" s="7"/>
      <c r="G219" s="7"/>
      <c r="H219" s="7"/>
      <c r="I219" s="25"/>
    </row>
    <row r="220" spans="1:9" x14ac:dyDescent="0.3">
      <c r="A220" s="400" t="s">
        <v>521</v>
      </c>
      <c r="B220" s="78" t="str">
        <f>IF(MODE=1, "", "Co1")</f>
        <v>Co1</v>
      </c>
      <c r="C220" s="78" t="str">
        <f>IF(MODE_TOP="DUAL", "Co2", "")</f>
        <v/>
      </c>
      <c r="D220" s="78" t="str">
        <f>IF(MODE_TOP="BIPOLAR", "Co2", "")</f>
        <v>Co2</v>
      </c>
      <c r="E220" s="7"/>
      <c r="F220" s="78" t="str">
        <f>MODE_TOP</f>
        <v>BIPOLAR</v>
      </c>
      <c r="G220" s="7"/>
      <c r="H220" s="7"/>
      <c r="I220" s="25"/>
    </row>
    <row r="221" spans="1:9" ht="12.5" x14ac:dyDescent="0.25">
      <c r="A221" s="24" t="str">
        <f>"COUT = "&amp;'LM(2)518x PSR flyback converter'!$E$22&amp;"µF"</f>
        <v>COUT = 100µF</v>
      </c>
      <c r="B221" s="7" t="str">
        <f>'LM(2)518x PSR flyback converter'!$E$22&amp;"µF"</f>
        <v>100µF</v>
      </c>
      <c r="C221" s="7" t="str">
        <f>IF(MODE_TOP="DUAL", 'LM(2)518x PSR flyback converter'!$L$22&amp;"µF", "")</f>
        <v/>
      </c>
      <c r="D221" s="7" t="str">
        <f>IF(MODE_TOP="BIPOLAR", 'LM(2)518x PSR flyback converter'!$L$22&amp;"µF", "")</f>
        <v>22µF</v>
      </c>
      <c r="E221" s="7"/>
      <c r="F221" s="7" t="str">
        <f>'LM(2)518x PSR flyback converter'!$L$22&amp;"µF"</f>
        <v>22µF</v>
      </c>
      <c r="G221" s="7"/>
      <c r="H221" s="7"/>
      <c r="I221" s="25"/>
    </row>
    <row r="222" spans="1:9" x14ac:dyDescent="0.3">
      <c r="A222" s="111" t="s">
        <v>134</v>
      </c>
      <c r="B222" s="7" t="str">
        <f>"22µF"</f>
        <v>22µF</v>
      </c>
      <c r="C222" s="40"/>
      <c r="D222" s="7"/>
      <c r="E222" s="7"/>
      <c r="F222" s="7"/>
      <c r="G222" s="7"/>
      <c r="H222" s="7"/>
      <c r="I222" s="25"/>
    </row>
    <row r="223" spans="1:9" x14ac:dyDescent="0.3">
      <c r="A223" s="111" t="s">
        <v>135</v>
      </c>
      <c r="B223" s="79" t="str">
        <f>ROUNDUP(Cout/22,0)&amp;" x"</f>
        <v>5 x</v>
      </c>
      <c r="C223" s="165"/>
      <c r="D223" s="7"/>
      <c r="E223" s="7"/>
      <c r="F223" s="7"/>
      <c r="G223" s="7"/>
      <c r="H223" s="7"/>
      <c r="I223" s="25"/>
    </row>
    <row r="224" spans="1:9" x14ac:dyDescent="0.3">
      <c r="A224" s="111"/>
      <c r="B224" s="79">
        <f>Cout</f>
        <v>100</v>
      </c>
      <c r="C224" s="165"/>
      <c r="D224" s="7"/>
      <c r="E224" s="7"/>
      <c r="F224" s="7"/>
      <c r="G224" s="7"/>
      <c r="H224" s="7"/>
      <c r="I224" s="25"/>
    </row>
    <row r="225" spans="1:9" x14ac:dyDescent="0.3">
      <c r="A225" s="400" t="s">
        <v>522</v>
      </c>
      <c r="B225" s="7"/>
      <c r="C225" s="40"/>
      <c r="D225" s="7"/>
      <c r="E225" s="7"/>
      <c r="F225" s="7"/>
      <c r="G225" s="7"/>
      <c r="H225" s="7"/>
      <c r="I225" s="25"/>
    </row>
    <row r="226" spans="1:9" x14ac:dyDescent="0.3">
      <c r="A226" s="24" t="s">
        <v>95</v>
      </c>
      <c r="B226" s="7" t="str">
        <f>Cin&amp;"µF"</f>
        <v>10µF</v>
      </c>
      <c r="E226" s="7"/>
      <c r="F226" s="7"/>
      <c r="G226" s="7"/>
      <c r="H226" s="7"/>
      <c r="I226" s="25"/>
    </row>
    <row r="227" spans="1:9" x14ac:dyDescent="0.3">
      <c r="A227" s="111" t="s">
        <v>133</v>
      </c>
      <c r="B227" s="7" t="str">
        <f>"4.7µF"</f>
        <v>4.7µF</v>
      </c>
      <c r="C227" s="40"/>
      <c r="D227" s="7"/>
      <c r="E227" s="7"/>
      <c r="F227" s="7"/>
      <c r="G227" s="7"/>
      <c r="H227" s="7"/>
      <c r="I227" s="25"/>
    </row>
    <row r="228" spans="1:9" x14ac:dyDescent="0.3">
      <c r="A228" s="111" t="s">
        <v>132</v>
      </c>
      <c r="B228" s="79" t="str">
        <f>ROUNDUP(Cin/4.7,0)&amp;" x"</f>
        <v>3 x</v>
      </c>
      <c r="C228" s="165"/>
      <c r="D228" s="7"/>
      <c r="E228" s="7"/>
      <c r="F228" s="7"/>
      <c r="G228" s="7"/>
      <c r="H228" s="7"/>
      <c r="I228" s="25"/>
    </row>
    <row r="229" spans="1:9" x14ac:dyDescent="0.3">
      <c r="A229" s="111"/>
      <c r="B229" s="79"/>
      <c r="D229" s="7"/>
      <c r="E229" s="7"/>
      <c r="F229" s="7"/>
      <c r="G229" s="7"/>
      <c r="H229" s="7"/>
      <c r="I229" s="25"/>
    </row>
    <row r="230" spans="1:9" ht="15.5" x14ac:dyDescent="0.4">
      <c r="A230" s="111" t="s">
        <v>523</v>
      </c>
      <c r="B230" s="588" t="s">
        <v>524</v>
      </c>
      <c r="C230" s="588" t="s">
        <v>564</v>
      </c>
      <c r="D230" s="7"/>
      <c r="E230" s="7"/>
      <c r="F230" s="7"/>
      <c r="G230" s="7"/>
      <c r="H230" s="7"/>
      <c r="I230" s="25"/>
    </row>
    <row r="231" spans="1:9" x14ac:dyDescent="0.3">
      <c r="A231" s="111"/>
      <c r="B231" s="79"/>
      <c r="D231" s="7"/>
      <c r="E231" s="7"/>
      <c r="F231" s="7"/>
      <c r="G231" s="7"/>
      <c r="H231" s="7"/>
      <c r="I231" s="25"/>
    </row>
    <row r="232" spans="1:9" x14ac:dyDescent="0.3">
      <c r="A232" s="400" t="s">
        <v>390</v>
      </c>
      <c r="B232" s="165" t="str">
        <f>IF(MODE_TC=1, "YES", "NO")</f>
        <v>YES</v>
      </c>
      <c r="D232" s="7"/>
      <c r="E232" s="7"/>
      <c r="F232" s="7"/>
      <c r="G232" s="7"/>
      <c r="H232" s="7"/>
      <c r="I232" s="25"/>
    </row>
    <row r="233" spans="1:9" x14ac:dyDescent="0.3">
      <c r="A233" s="111" t="s">
        <v>299</v>
      </c>
      <c r="B233" s="165" t="str">
        <f>IF(MODE_TC=2, "YES", "NO")</f>
        <v>NO</v>
      </c>
      <c r="C233" s="390" t="str">
        <f>IF(MODE_TC=2, "R1", "")</f>
        <v/>
      </c>
      <c r="D233" s="390" t="str">
        <f>IF(MODE_TC=2, "R2", "")</f>
        <v/>
      </c>
      <c r="E233" s="390"/>
      <c r="F233" s="7"/>
      <c r="G233" s="7"/>
      <c r="H233" s="7"/>
      <c r="I233" s="25"/>
    </row>
    <row r="234" spans="1:9" ht="12.5" x14ac:dyDescent="0.25">
      <c r="A234" s="24" t="str">
        <f>"RFB = "&amp;'LM(2)518x PSR flyback converter'!E27&amp;"kΩ"</f>
        <v>RFB = 195.84kΩ</v>
      </c>
      <c r="B234" s="7" t="str">
        <f>IF(MODE_TC=1, "", 'LM(2)518x PSR flyback converter'!E27&amp;"kΩ")</f>
        <v/>
      </c>
      <c r="C234" s="78" t="str">
        <f>'LM(2)518x PSR flyback converter'!E27&amp;"kΩ"</f>
        <v>195.84kΩ</v>
      </c>
      <c r="D234" s="7"/>
      <c r="E234" s="7"/>
      <c r="F234" s="7"/>
      <c r="G234" s="7"/>
      <c r="H234" s="7"/>
      <c r="I234" s="25"/>
    </row>
    <row r="235" spans="1:9" ht="12.5" x14ac:dyDescent="0.25">
      <c r="A235" s="24" t="str">
        <f>"RFB2 = "&amp;IF(Vout=Vref,"OPEN",'LM(2)518x PSR flyback converter'!E28&amp;"kΩ")</f>
        <v>RFB2 = 196kΩ</v>
      </c>
      <c r="B235" s="7" t="str">
        <f>IF(MODE_TC=1, "", IF(Vout=Vref,"OPEN",Rfb2_u/1000&amp;"kΩ"))</f>
        <v/>
      </c>
      <c r="C235" s="78" t="str">
        <f>'LM(2)518x PSR flyback converter'!E28&amp;"kΩ"</f>
        <v>196kΩ</v>
      </c>
      <c r="D235" s="7"/>
      <c r="E235" s="7"/>
      <c r="F235" s="7"/>
      <c r="G235" s="7"/>
      <c r="H235" s="7"/>
      <c r="I235" s="25"/>
    </row>
    <row r="236" spans="1:9" ht="12.5" x14ac:dyDescent="0.25">
      <c r="A236" s="24"/>
      <c r="B236" s="7"/>
      <c r="C236" s="78"/>
      <c r="D236" s="7"/>
      <c r="E236" s="7"/>
      <c r="F236" s="7"/>
      <c r="G236" s="7"/>
      <c r="H236" s="7"/>
      <c r="I236" s="25"/>
    </row>
    <row r="237" spans="1:9" x14ac:dyDescent="0.3">
      <c r="A237" s="111" t="s">
        <v>303</v>
      </c>
      <c r="B237" s="40" t="str">
        <f>IF(MODE=1, "YES", "NO")</f>
        <v>NO</v>
      </c>
      <c r="C237" s="7" t="str">
        <f>IF(MODE=1,"Rt", "")</f>
        <v/>
      </c>
      <c r="D237" s="7"/>
      <c r="E237" s="7"/>
      <c r="F237" s="7"/>
      <c r="G237" s="7"/>
      <c r="H237" s="7"/>
      <c r="I237" s="25"/>
    </row>
    <row r="238" spans="1:9" x14ac:dyDescent="0.3">
      <c r="A238" s="111" t="s">
        <v>139</v>
      </c>
      <c r="B238" s="7" t="str">
        <f>IF(MODE=2, "", 'Standard Value Calculator'!J4/1000&amp;"kΩ")</f>
        <v/>
      </c>
      <c r="C238" s="40"/>
      <c r="D238" s="7"/>
      <c r="E238" s="7"/>
      <c r="F238" s="7"/>
      <c r="G238" s="7"/>
      <c r="H238" s="7"/>
      <c r="I238" s="25"/>
    </row>
    <row r="239" spans="1:9" x14ac:dyDescent="0.3">
      <c r="A239" s="111"/>
      <c r="B239" s="7"/>
      <c r="C239" s="40"/>
      <c r="D239" s="7"/>
      <c r="E239" s="7"/>
      <c r="F239" s="7"/>
      <c r="G239" s="7"/>
      <c r="H239" s="7"/>
      <c r="I239" s="25"/>
    </row>
    <row r="240" spans="1:9" x14ac:dyDescent="0.3">
      <c r="A240" s="400" t="s">
        <v>380</v>
      </c>
      <c r="B240" s="165" t="str">
        <f>IF(MODE=1, "YES", "NO")</f>
        <v>NO</v>
      </c>
      <c r="C240" s="78" t="str">
        <f>IF(TC=1,"Rtc", "")</f>
        <v>Rtc</v>
      </c>
      <c r="D240" s="7"/>
      <c r="E240" s="7"/>
      <c r="F240" s="7"/>
      <c r="G240" s="7"/>
      <c r="H240" s="7"/>
      <c r="I240" s="25"/>
    </row>
    <row r="241" spans="1:9" ht="12.5" x14ac:dyDescent="0.25">
      <c r="A241" s="531" t="str">
        <f>"RTC = "&amp;RTC&amp;"kΩ"</f>
        <v>RTC = 324kΩ</v>
      </c>
      <c r="B241" s="7" t="str">
        <f>IF(TC=1, RTC&amp;"kΩ", "")</f>
        <v>324kΩ</v>
      </c>
      <c r="C241" s="78" t="str">
        <f>CHOOSE(TC,"Rtc","")</f>
        <v>Rtc</v>
      </c>
      <c r="D241" s="7"/>
      <c r="E241" s="7"/>
      <c r="F241" s="8"/>
      <c r="G241" s="7"/>
      <c r="H241" s="7"/>
      <c r="I241" s="25"/>
    </row>
    <row r="242" spans="1:9" ht="12.5" x14ac:dyDescent="0.25">
      <c r="A242" s="111" t="s">
        <v>383</v>
      </c>
      <c r="B242" s="372"/>
      <c r="C242" s="7"/>
      <c r="D242" s="7"/>
      <c r="E242" s="7"/>
      <c r="F242" s="8"/>
      <c r="G242" s="7"/>
      <c r="H242" s="7"/>
      <c r="I242" s="25"/>
    </row>
    <row r="243" spans="1:9" x14ac:dyDescent="0.3">
      <c r="A243" s="24"/>
      <c r="B243" s="79"/>
      <c r="C243" s="165"/>
      <c r="D243" s="7"/>
      <c r="E243" s="114"/>
      <c r="F243" s="7"/>
      <c r="G243" s="7"/>
      <c r="H243" s="7"/>
      <c r="I243" s="25"/>
    </row>
    <row r="244" spans="1:9" x14ac:dyDescent="0.3">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ht="12.5" x14ac:dyDescent="0.25">
      <c r="A245" s="24" t="str">
        <f>"RUV1 = "&amp;C245</f>
        <v>RUV1 = 332kΩ</v>
      </c>
      <c r="B245" s="7" t="str">
        <f>'LM(2)518x PSR flyback converter'!E38&amp;" kΩ"</f>
        <v>332 kΩ</v>
      </c>
      <c r="C245" s="390" t="str">
        <f>IF(MODE_UVLO=1,'LM(2)518x PSR flyback converter'!E38&amp;"kΩ", "")</f>
        <v>332kΩ</v>
      </c>
      <c r="F245" s="7">
        <f>IF(MODE_UVLO=1,'LM(2)518x PSR flyback converter'!E38, "")</f>
        <v>332</v>
      </c>
      <c r="G245" s="78" t="str">
        <f>IF(MODE_UVLO=1,"kΩ", "")</f>
        <v>kΩ</v>
      </c>
      <c r="H245" s="390" t="str">
        <f>IF(MODE_UVLO=1,'LM(2)518x PSR flyback converter'!E38&amp;"k", "")</f>
        <v>332k</v>
      </c>
      <c r="I245" s="25"/>
    </row>
    <row r="246" spans="1:9" ht="12.5" x14ac:dyDescent="0.25">
      <c r="A246" s="24" t="str">
        <f>"RUV2 = "&amp;C246</f>
        <v>RUV2 = 59kΩ</v>
      </c>
      <c r="B246" s="7" t="str">
        <f>IF(D158&gt;=1000, D158/1000&amp;" MΩ", D158&amp;" kΩ")</f>
        <v>59 kΩ</v>
      </c>
      <c r="C246" s="390" t="str">
        <f>IF(MODE_UVLO=1, IF(D158&lt;1, D158*1000&amp;"Ω", IF(D158&lt;1000, D158&amp;"kΩ", D158/1000&amp;"MΩ")), "")</f>
        <v>59kΩ</v>
      </c>
      <c r="F246" s="7">
        <f>IF(MODE_UVLO=1, IF(D158&lt;1, D158*1000, IF(D158&lt;1000, D158, D158/1000)), "")</f>
        <v>59</v>
      </c>
      <c r="G246" s="78" t="str">
        <f>IF(MODE_UVLO=1, IF(D158&lt;1, "Ω", IF(D158&lt;1000,"kΩ", "MΩ")), "")</f>
        <v>kΩ</v>
      </c>
      <c r="H246" s="390" t="str">
        <f>IF(MODE_UVLO=1, IF(D158&lt;1, D158*1000, IF(D158&lt;1000, D158&amp;"k", D158/1000&amp;"M")), "")</f>
        <v>59k</v>
      </c>
      <c r="I246" s="25"/>
    </row>
    <row r="247" spans="1:9" ht="12.5" x14ac:dyDescent="0.25">
      <c r="A247" s="24"/>
      <c r="B247" s="7"/>
      <c r="C247" s="390"/>
      <c r="F247" s="7"/>
      <c r="G247" s="78"/>
      <c r="H247" s="390"/>
      <c r="I247" s="25"/>
    </row>
    <row r="248" spans="1:9" x14ac:dyDescent="0.3">
      <c r="A248" s="400" t="s">
        <v>384</v>
      </c>
      <c r="B248" s="7"/>
      <c r="C248" s="390"/>
      <c r="F248" s="7"/>
      <c r="G248" s="78"/>
      <c r="H248" s="390"/>
      <c r="I248" s="25"/>
    </row>
    <row r="249" spans="1:9" ht="12.5" x14ac:dyDescent="0.25">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ht="12.5" x14ac:dyDescent="0.25">
      <c r="A250" s="24"/>
      <c r="B250" s="78"/>
      <c r="C250" s="78"/>
      <c r="F250" s="7"/>
      <c r="G250" s="78"/>
      <c r="H250" s="390"/>
      <c r="I250" s="25"/>
    </row>
    <row r="251" spans="1:9" x14ac:dyDescent="0.3">
      <c r="A251" s="400" t="s">
        <v>385</v>
      </c>
      <c r="B251" s="79"/>
      <c r="C251" s="165"/>
      <c r="D251" s="7"/>
      <c r="E251" s="114"/>
      <c r="F251" s="7"/>
      <c r="G251" s="7"/>
      <c r="H251" s="7"/>
      <c r="I251" s="25"/>
    </row>
    <row r="252" spans="1:9" x14ac:dyDescent="0.3">
      <c r="A252" s="24" t="str">
        <f>"Css = "&amp;Css*1000000000&amp;"nF"</f>
        <v>Css = 45nF</v>
      </c>
      <c r="B252" s="7" t="str">
        <f>Css*1000000000&amp;"nF"</f>
        <v>45nF</v>
      </c>
      <c r="D252" s="7"/>
      <c r="E252" s="7"/>
      <c r="F252" s="7"/>
      <c r="G252" s="7"/>
      <c r="H252" s="7"/>
      <c r="I252" s="25"/>
    </row>
    <row r="253" spans="1:9" ht="12.5" x14ac:dyDescent="0.25">
      <c r="A253" s="24" t="s">
        <v>66</v>
      </c>
      <c r="B253" s="7" t="str">
        <f>CHOOSE(MODE_SS,'Standard Value Calculator'!B4*1000000000&amp;"nF","")</f>
        <v>47nF</v>
      </c>
      <c r="C253" s="7" t="str">
        <f>CHOOSE(MODE_SS,"Css","")</f>
        <v>Css</v>
      </c>
      <c r="D253" s="401" t="str">
        <f>B253</f>
        <v>47nF</v>
      </c>
      <c r="E253" s="7"/>
      <c r="F253" s="7"/>
      <c r="G253" s="7"/>
      <c r="H253" s="7"/>
      <c r="I253" s="25"/>
    </row>
    <row r="254" spans="1:9" x14ac:dyDescent="0.3">
      <c r="A254" s="24"/>
      <c r="B254" s="7"/>
      <c r="C254" s="78" t="str">
        <f>C253</f>
        <v>Css</v>
      </c>
      <c r="D254" s="40"/>
      <c r="E254" s="7"/>
      <c r="F254" s="7"/>
      <c r="G254" s="7"/>
      <c r="H254" s="7"/>
      <c r="I254" s="25"/>
    </row>
    <row r="255" spans="1:9" x14ac:dyDescent="0.3">
      <c r="A255" s="24"/>
      <c r="B255" s="7"/>
      <c r="C255" s="78"/>
      <c r="D255" s="40"/>
      <c r="E255" s="7"/>
      <c r="F255" s="7"/>
      <c r="G255" s="7"/>
      <c r="H255" s="7"/>
      <c r="I255" s="25"/>
    </row>
    <row r="256" spans="1:9" ht="12.5" x14ac:dyDescent="0.25">
      <c r="A256" s="111" t="s">
        <v>653</v>
      </c>
      <c r="B256" s="78">
        <f>ROUND(Iout*2,1)</f>
        <v>0.4</v>
      </c>
      <c r="C256" s="78" t="s">
        <v>1</v>
      </c>
      <c r="D256" s="7"/>
      <c r="E256" s="7"/>
      <c r="F256" s="7"/>
      <c r="G256" s="7"/>
      <c r="H256" s="7"/>
      <c r="I256" s="25"/>
    </row>
    <row r="257" spans="1:9" ht="12.5" x14ac:dyDescent="0.25">
      <c r="A257" s="111" t="s">
        <v>654</v>
      </c>
      <c r="B257">
        <f>ROUND(VRRM_DIODE,0)</f>
        <v>56</v>
      </c>
      <c r="C257" s="78" t="s">
        <v>0</v>
      </c>
      <c r="D257" s="7"/>
      <c r="E257" s="7"/>
      <c r="F257" s="7"/>
      <c r="G257" s="7"/>
      <c r="H257" s="7"/>
      <c r="I257" s="25"/>
    </row>
    <row r="258" spans="1:9" x14ac:dyDescent="0.3">
      <c r="F258" s="7"/>
      <c r="G258" s="7"/>
      <c r="H258" s="7"/>
      <c r="I258" s="25"/>
    </row>
    <row r="259" spans="1:9" ht="12.5" x14ac:dyDescent="0.25">
      <c r="A259" s="111"/>
      <c r="B259" s="372"/>
      <c r="C259" s="7"/>
      <c r="D259" s="7"/>
      <c r="E259" s="7"/>
      <c r="F259" s="7"/>
      <c r="G259" s="7"/>
      <c r="H259" s="7"/>
      <c r="I259" s="25"/>
    </row>
    <row r="260" spans="1:9" ht="12.5" x14ac:dyDescent="0.25">
      <c r="A260" s="111" t="s">
        <v>129</v>
      </c>
      <c r="B260" s="78" t="s">
        <v>311</v>
      </c>
      <c r="C260" s="7"/>
      <c r="D260" s="7"/>
      <c r="E260" s="7"/>
      <c r="F260" s="7"/>
      <c r="G260" s="7"/>
      <c r="H260" s="7"/>
      <c r="I260" s="25"/>
    </row>
    <row r="261" spans="1:9" ht="12.5" x14ac:dyDescent="0.25">
      <c r="A261" s="111"/>
      <c r="B261" s="78"/>
      <c r="C261" s="7"/>
      <c r="D261" s="7"/>
      <c r="E261" s="7"/>
      <c r="F261" s="7"/>
      <c r="G261" s="7"/>
      <c r="H261" s="7"/>
      <c r="I261" s="25"/>
    </row>
    <row r="262" spans="1:9" ht="12.5" x14ac:dyDescent="0.25">
      <c r="A262" s="111" t="s">
        <v>183</v>
      </c>
      <c r="B262" s="357" t="str">
        <f>CHOOSE(MODE, ROUND('Calculations - Single'!$CD$105,1)&amp;"%", ROUND('Calculations - Dual'!CF105,1)&amp;"%")</f>
        <v>92.4%</v>
      </c>
      <c r="C262" s="7"/>
      <c r="D262" s="7"/>
      <c r="E262" s="7"/>
      <c r="F262" s="7"/>
      <c r="G262" s="7"/>
      <c r="H262" s="7"/>
      <c r="I262" s="25"/>
    </row>
    <row r="263" spans="1:9" ht="12.5" x14ac:dyDescent="0.25">
      <c r="A263" s="111" t="s">
        <v>501</v>
      </c>
      <c r="B263" s="357" t="str">
        <f>ROUND('Calculations - Single'!$CD$55,1)&amp;"%"</f>
        <v>87.7%</v>
      </c>
      <c r="C263" s="7"/>
      <c r="D263" s="7"/>
      <c r="E263" s="7"/>
      <c r="F263" s="7"/>
      <c r="G263" s="7"/>
      <c r="H263" s="7"/>
      <c r="I263" s="25"/>
    </row>
    <row r="264" spans="1:9" ht="12.5" x14ac:dyDescent="0.25">
      <c r="A264" s="111" t="s">
        <v>308</v>
      </c>
      <c r="B264" s="357" t="str">
        <f>ROUND('Calculations - Single'!$CD$15,1)&amp;"%"</f>
        <v>78.1%</v>
      </c>
      <c r="C264" s="78" t="s">
        <v>313</v>
      </c>
      <c r="D264" s="7"/>
      <c r="E264" s="7"/>
      <c r="F264" s="7"/>
      <c r="G264" s="7"/>
      <c r="H264" s="7"/>
      <c r="I264" s="25"/>
    </row>
    <row r="265" spans="1:9" ht="12.5" x14ac:dyDescent="0.25">
      <c r="A265" s="111" t="s">
        <v>312</v>
      </c>
      <c r="B265" s="357" t="str">
        <f>ROUND(Parameters!BZ56,1)&amp;"%"</f>
        <v>0%</v>
      </c>
      <c r="C265" s="78" t="s">
        <v>314</v>
      </c>
      <c r="D265" s="7"/>
      <c r="E265" s="7"/>
      <c r="F265" s="7"/>
      <c r="G265" s="7"/>
      <c r="H265" s="7"/>
      <c r="I265" s="25"/>
    </row>
    <row r="266" spans="1:9" x14ac:dyDescent="0.3">
      <c r="A266" s="24"/>
      <c r="B266" s="7"/>
      <c r="C266" s="40"/>
      <c r="D266" s="7"/>
      <c r="E266" s="7"/>
      <c r="F266" s="7"/>
      <c r="G266" s="7"/>
      <c r="H266" s="7"/>
      <c r="I266" s="25"/>
    </row>
    <row r="267" spans="1:9" x14ac:dyDescent="0.3">
      <c r="A267" s="24"/>
      <c r="B267" s="7"/>
      <c r="C267" s="40"/>
      <c r="D267" s="7"/>
      <c r="E267" s="7"/>
      <c r="F267" s="7"/>
      <c r="G267" s="7"/>
      <c r="H267" s="7"/>
      <c r="I267" s="25"/>
    </row>
    <row r="268" spans="1:9" x14ac:dyDescent="0.3">
      <c r="A268" s="24"/>
      <c r="B268" s="7"/>
      <c r="C268" s="40"/>
      <c r="D268" s="7"/>
      <c r="E268" s="7"/>
      <c r="F268" s="7"/>
      <c r="G268" s="7"/>
      <c r="H268" s="7"/>
      <c r="I268" s="25"/>
    </row>
    <row r="269" spans="1:9" x14ac:dyDescent="0.3">
      <c r="A269" s="24" t="s">
        <v>80</v>
      </c>
      <c r="B269" s="7" t="str">
        <f>IF(C269="y","","|")</f>
        <v>|</v>
      </c>
      <c r="C269" s="40" t="s">
        <v>320</v>
      </c>
      <c r="D269" s="7"/>
      <c r="E269" s="7"/>
      <c r="F269" s="7"/>
      <c r="G269" s="7"/>
      <c r="H269" s="7"/>
      <c r="I269" s="25"/>
    </row>
    <row r="270" spans="1:9" x14ac:dyDescent="0.3">
      <c r="A270" s="24"/>
      <c r="B270" s="7"/>
      <c r="C270" s="40"/>
      <c r="D270" s="7"/>
      <c r="E270" s="7"/>
      <c r="F270" s="7"/>
      <c r="G270" s="7"/>
      <c r="H270" s="7"/>
      <c r="I270" s="25"/>
    </row>
    <row r="271" spans="1:9" x14ac:dyDescent="0.3">
      <c r="A271" s="505" t="s">
        <v>86</v>
      </c>
      <c r="B271" s="7" t="str">
        <f>'LM(2)518x PSR flyback converter'!$E$11&amp;"A"</f>
        <v>0.2A</v>
      </c>
      <c r="C271" s="40"/>
      <c r="D271" s="7"/>
      <c r="E271" s="7"/>
      <c r="F271" s="7"/>
      <c r="G271" s="7"/>
      <c r="H271" s="7"/>
      <c r="I271" s="25"/>
    </row>
    <row r="272" spans="1:9" x14ac:dyDescent="0.3">
      <c r="A272" s="505" t="s">
        <v>520</v>
      </c>
      <c r="B272" s="7" t="str">
        <f>IF(MODE_TOP="DUAL", 'LM(2)518x PSR flyback converter'!$E$13&amp;"A", "")</f>
        <v/>
      </c>
      <c r="C272" s="40"/>
      <c r="D272" s="78">
        <f>MODE</f>
        <v>2</v>
      </c>
      <c r="E272" s="7"/>
      <c r="F272" s="7"/>
      <c r="G272" s="7"/>
      <c r="H272" s="7"/>
      <c r="I272" s="25"/>
    </row>
    <row r="273" spans="1:9" x14ac:dyDescent="0.3">
      <c r="A273" s="505" t="s">
        <v>519</v>
      </c>
      <c r="B273" s="7" t="str">
        <f>IF(MODE_TOP="BIPOLAR", Iout2_actual&amp;"A", "")</f>
        <v>-0.1A</v>
      </c>
      <c r="C273" s="40"/>
      <c r="D273" s="7"/>
      <c r="E273" s="7"/>
      <c r="F273" s="7"/>
      <c r="G273" s="7"/>
      <c r="H273" s="7"/>
      <c r="I273" s="25"/>
    </row>
    <row r="274" spans="1:9" x14ac:dyDescent="0.3">
      <c r="A274" s="24"/>
      <c r="B274" s="7"/>
      <c r="C274" s="40"/>
      <c r="D274" s="7"/>
      <c r="E274" s="7"/>
      <c r="F274" s="7"/>
      <c r="G274" s="7"/>
      <c r="H274" s="7"/>
      <c r="I274" s="25"/>
    </row>
    <row r="275" spans="1:9" x14ac:dyDescent="0.3">
      <c r="A275" s="111" t="s">
        <v>94</v>
      </c>
      <c r="B275" s="7">
        <v>1</v>
      </c>
      <c r="C275" s="40"/>
      <c r="D275" s="7"/>
      <c r="E275" s="7"/>
      <c r="F275" s="7"/>
      <c r="G275" s="7"/>
      <c r="H275" s="7"/>
      <c r="I275" s="25"/>
    </row>
    <row r="276" spans="1:9" x14ac:dyDescent="0.3">
      <c r="A276" s="111" t="s">
        <v>93</v>
      </c>
      <c r="B276" s="7">
        <v>2</v>
      </c>
      <c r="C276" s="40"/>
      <c r="D276" s="7"/>
      <c r="E276" s="7"/>
      <c r="F276" s="7"/>
      <c r="G276" s="7"/>
      <c r="H276" s="7"/>
      <c r="I276" s="25"/>
    </row>
    <row r="277" spans="1:9" x14ac:dyDescent="0.3">
      <c r="A277" s="604" t="s">
        <v>57</v>
      </c>
      <c r="B277" s="7">
        <v>3</v>
      </c>
      <c r="C277" s="40"/>
      <c r="D277" s="7"/>
      <c r="E277" s="7"/>
      <c r="F277" s="7"/>
      <c r="G277" s="7"/>
      <c r="H277" s="7"/>
      <c r="I277" s="25"/>
    </row>
    <row r="278" spans="1:9" x14ac:dyDescent="0.3">
      <c r="A278" s="111" t="s">
        <v>565</v>
      </c>
      <c r="B278" s="7">
        <v>4</v>
      </c>
      <c r="C278" s="40"/>
      <c r="D278" s="7"/>
      <c r="E278" s="7"/>
      <c r="F278" s="7"/>
      <c r="G278" s="7"/>
      <c r="H278" s="7"/>
      <c r="I278" s="25"/>
    </row>
    <row r="279" spans="1:9" x14ac:dyDescent="0.3">
      <c r="A279" s="111" t="s">
        <v>566</v>
      </c>
      <c r="B279" s="7">
        <v>5</v>
      </c>
      <c r="C279" s="40"/>
      <c r="D279" s="7"/>
      <c r="E279" s="7"/>
      <c r="F279" s="7"/>
      <c r="G279" s="7"/>
      <c r="H279" s="7"/>
      <c r="I279" s="25"/>
    </row>
    <row r="280" spans="1:9" x14ac:dyDescent="0.3">
      <c r="A280" s="111" t="s">
        <v>567</v>
      </c>
      <c r="B280" s="7">
        <v>6</v>
      </c>
      <c r="C280" s="40"/>
      <c r="D280" s="7"/>
      <c r="E280" s="7"/>
      <c r="F280" s="7"/>
      <c r="G280" s="7"/>
      <c r="H280" s="7"/>
      <c r="I280" s="25"/>
    </row>
    <row r="281" spans="1:9" x14ac:dyDescent="0.3">
      <c r="A281" s="111" t="s">
        <v>568</v>
      </c>
      <c r="B281" s="7">
        <v>7</v>
      </c>
      <c r="C281" s="40"/>
      <c r="D281" s="7"/>
      <c r="E281" s="7"/>
      <c r="F281" s="7"/>
      <c r="G281" s="7"/>
      <c r="H281" s="7"/>
      <c r="I281" s="25"/>
    </row>
    <row r="282" spans="1:9" x14ac:dyDescent="0.3">
      <c r="A282" s="604" t="s">
        <v>92</v>
      </c>
      <c r="B282" s="7">
        <v>8</v>
      </c>
      <c r="C282" s="40"/>
      <c r="D282" s="7"/>
      <c r="E282" s="7"/>
      <c r="F282" s="7"/>
      <c r="G282" s="7"/>
      <c r="H282" s="7"/>
      <c r="I282" s="25"/>
    </row>
    <row r="283" spans="1:9" ht="13.5" thickBot="1" x14ac:dyDescent="0.3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796875" defaultRowHeight="12.5" x14ac:dyDescent="0.25"/>
  <cols>
    <col min="1" max="1" width="10.453125" style="174" customWidth="1"/>
    <col min="2" max="2" width="10.7265625" style="174" customWidth="1"/>
    <col min="3" max="3" width="6.1796875" style="174" customWidth="1"/>
    <col min="4" max="4" width="16.26953125" style="174" customWidth="1"/>
    <col min="5" max="5" width="4.453125" style="174" customWidth="1"/>
    <col min="6" max="6" width="3.26953125" style="174" customWidth="1"/>
    <col min="7" max="7" width="16.1796875" style="174" customWidth="1"/>
    <col min="8" max="8" width="15.7265625" style="174" customWidth="1"/>
    <col min="9" max="9" width="10" style="174" customWidth="1"/>
    <col min="10" max="10" width="10.81640625" style="174" customWidth="1"/>
    <col min="11" max="11" width="10.1796875" style="174" customWidth="1"/>
    <col min="12" max="14" width="11.81640625" style="174" customWidth="1"/>
    <col min="15" max="15" width="14.26953125" style="174" customWidth="1"/>
    <col min="16" max="16" width="11" style="174" customWidth="1"/>
    <col min="17" max="17" width="12" style="174" customWidth="1"/>
    <col min="18" max="18" width="11.453125" style="174" customWidth="1"/>
    <col min="19" max="19" width="10.81640625" style="174" customWidth="1"/>
    <col min="20" max="20" width="11.453125" style="174" customWidth="1"/>
    <col min="21" max="21" width="11.81640625" style="174" customWidth="1"/>
    <col min="22" max="22" width="13.54296875" style="174" customWidth="1"/>
    <col min="23" max="23" width="9.453125" style="174" customWidth="1"/>
    <col min="24" max="24" width="16.1796875" style="174" bestFit="1" customWidth="1"/>
    <col min="25" max="25" width="16.1796875" style="176" customWidth="1"/>
    <col min="26" max="26" width="8.81640625" style="174" bestFit="1" customWidth="1"/>
    <col min="27" max="27" width="13.453125" style="174" bestFit="1" customWidth="1"/>
    <col min="28" max="28" width="9.26953125" style="174" bestFit="1" customWidth="1"/>
    <col min="29" max="29" width="9.1796875" style="174"/>
    <col min="30" max="30" width="13.54296875" style="174" customWidth="1"/>
    <col min="31" max="31" width="10.54296875" style="174" customWidth="1"/>
    <col min="32" max="32" width="9.1796875" style="174"/>
    <col min="33" max="33" width="9.26953125" style="174" bestFit="1" customWidth="1"/>
    <col min="34" max="34" width="11.26953125" style="174" bestFit="1" customWidth="1"/>
    <col min="35" max="35" width="5.81640625" style="174" customWidth="1"/>
    <col min="36" max="36" width="12.26953125" style="174" customWidth="1"/>
    <col min="37" max="37" width="8.81640625" style="174" customWidth="1"/>
    <col min="38" max="38" width="18.1796875" style="174" customWidth="1"/>
    <col min="39" max="39" width="45.26953125" style="174" customWidth="1"/>
    <col min="40" max="40" width="19.26953125" style="174" bestFit="1" customWidth="1"/>
    <col min="41" max="41" width="40.7265625" style="174" bestFit="1" customWidth="1"/>
    <col min="42" max="42" width="40.1796875" style="174" bestFit="1" customWidth="1"/>
    <col min="43" max="43" width="40.7265625" style="174" bestFit="1" customWidth="1"/>
    <col min="44" max="44" width="40.1796875" style="174" bestFit="1" customWidth="1"/>
    <col min="45" max="45" width="28.453125" style="174" customWidth="1"/>
    <col min="46" max="16384" width="9.1796875" style="174"/>
  </cols>
  <sheetData>
    <row r="1" spans="1:44" ht="13" thickBot="1" x14ac:dyDescent="0.3"/>
    <row r="2" spans="1:44" s="193" customFormat="1" ht="13" x14ac:dyDescent="0.3">
      <c r="A2" s="739" t="s">
        <v>785</v>
      </c>
      <c r="G2" s="836" t="s">
        <v>779</v>
      </c>
      <c r="H2" s="837"/>
      <c r="I2" s="838"/>
      <c r="J2" s="839"/>
      <c r="K2" s="836" t="s">
        <v>698</v>
      </c>
      <c r="L2" s="837"/>
      <c r="M2" s="837"/>
      <c r="N2" s="651"/>
      <c r="O2" s="652"/>
      <c r="P2" s="836" t="s">
        <v>699</v>
      </c>
      <c r="Q2" s="838"/>
      <c r="R2" s="839"/>
      <c r="S2" s="836" t="s">
        <v>780</v>
      </c>
      <c r="T2" s="838"/>
      <c r="U2" s="839"/>
      <c r="V2" s="836" t="s">
        <v>700</v>
      </c>
      <c r="W2" s="837"/>
      <c r="X2" s="840"/>
      <c r="Y2" s="546"/>
    </row>
    <row r="3" spans="1:44" x14ac:dyDescent="0.25">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ht="13" x14ac:dyDescent="0.3">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ht="13" x14ac:dyDescent="0.3">
      <c r="H5" s="653" t="s">
        <v>712</v>
      </c>
      <c r="I5" s="273">
        <f>1/(2*Pi*REAout*Ccomp)</f>
        <v>0.5526213308116541</v>
      </c>
      <c r="J5" s="654" t="s">
        <v>8</v>
      </c>
      <c r="K5" s="657"/>
      <c r="L5" s="194"/>
      <c r="M5" s="654"/>
      <c r="N5" s="662"/>
      <c r="O5" s="662"/>
      <c r="P5" s="663" t="s">
        <v>727</v>
      </c>
      <c r="Q5" s="665">
        <f>Rload_pri/(2*Pi*Lmag*M*(M+1))</f>
        <v>235059.60852739401</v>
      </c>
      <c r="R5" s="660" t="s">
        <v>8</v>
      </c>
      <c r="S5" s="663"/>
      <c r="T5" s="192"/>
      <c r="U5" s="660"/>
      <c r="V5" s="734" t="s">
        <v>713</v>
      </c>
      <c r="W5" s="737">
        <f>AK9</f>
        <v>55.276705888282876</v>
      </c>
      <c r="X5" s="738" t="s">
        <v>714</v>
      </c>
      <c r="Y5" s="451">
        <f>20*LOG(Am)</f>
        <v>23.521825181113623</v>
      </c>
      <c r="Z5" s="174" t="s">
        <v>787</v>
      </c>
    </row>
    <row r="6" spans="1:44" x14ac:dyDescent="0.25">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 thickBot="1" x14ac:dyDescent="0.3">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5">
      <c r="H8" s="675"/>
      <c r="I8" s="676"/>
      <c r="J8" s="677"/>
      <c r="K8" s="677"/>
      <c r="L8" s="678"/>
      <c r="M8" s="678"/>
      <c r="N8" s="678"/>
      <c r="O8" s="677"/>
      <c r="P8" s="677"/>
      <c r="Q8" s="677"/>
      <c r="R8" s="677"/>
      <c r="S8" s="677"/>
      <c r="T8" s="677"/>
      <c r="U8" s="677"/>
      <c r="V8" s="677"/>
      <c r="W8" s="677"/>
      <c r="X8" s="677"/>
    </row>
    <row r="9" spans="1:44" ht="13" thickBot="1" x14ac:dyDescent="0.3">
      <c r="A9" s="726"/>
      <c r="B9" s="731" t="s">
        <v>773</v>
      </c>
      <c r="AJ9" s="174" t="s">
        <v>720</v>
      </c>
      <c r="AK9" s="176">
        <f>SUM(AK13:AK613)</f>
        <v>55.276705888282876</v>
      </c>
    </row>
    <row r="10" spans="1:44" ht="14" x14ac:dyDescent="0.3">
      <c r="A10" s="729"/>
      <c r="B10" s="263" t="s">
        <v>777</v>
      </c>
      <c r="G10" s="841" t="s">
        <v>721</v>
      </c>
      <c r="H10" s="844" t="s">
        <v>771</v>
      </c>
      <c r="I10" s="846" t="s">
        <v>722</v>
      </c>
      <c r="J10" s="847"/>
      <c r="K10" s="847"/>
      <c r="L10" s="847"/>
      <c r="M10" s="847"/>
      <c r="N10" s="848"/>
      <c r="O10" s="846" t="s">
        <v>723</v>
      </c>
      <c r="P10" s="847"/>
      <c r="Q10" s="847"/>
      <c r="R10" s="847"/>
      <c r="S10" s="847"/>
      <c r="T10" s="848"/>
      <c r="U10" s="826" t="s">
        <v>775</v>
      </c>
      <c r="V10" s="849"/>
      <c r="W10" s="826" t="s">
        <v>724</v>
      </c>
      <c r="X10" s="827"/>
      <c r="Y10" s="828"/>
      <c r="AD10" s="829" t="s">
        <v>725</v>
      </c>
      <c r="AE10" s="830"/>
      <c r="AG10" s="829" t="s">
        <v>726</v>
      </c>
      <c r="AH10" s="830"/>
      <c r="AM10" s="337" t="s">
        <v>776</v>
      </c>
    </row>
    <row r="11" spans="1:44" ht="13" x14ac:dyDescent="0.3">
      <c r="G11" s="842"/>
      <c r="H11" s="845"/>
      <c r="I11" s="831" t="s">
        <v>710</v>
      </c>
      <c r="J11" s="832"/>
      <c r="K11" s="832" t="s">
        <v>705</v>
      </c>
      <c r="L11" s="833"/>
      <c r="M11" s="834" t="s">
        <v>727</v>
      </c>
      <c r="N11" s="835"/>
      <c r="O11" s="831" t="s">
        <v>728</v>
      </c>
      <c r="P11" s="832"/>
      <c r="Q11" s="832" t="s">
        <v>729</v>
      </c>
      <c r="R11" s="833"/>
      <c r="S11" s="834" t="s">
        <v>730</v>
      </c>
      <c r="T11" s="835"/>
      <c r="U11" s="831" t="s">
        <v>706</v>
      </c>
      <c r="V11" s="833"/>
      <c r="W11" s="657"/>
      <c r="X11" s="175"/>
      <c r="Y11" s="679"/>
      <c r="AD11" s="657"/>
      <c r="AE11" s="654"/>
      <c r="AG11" s="657"/>
      <c r="AH11" s="654"/>
    </row>
    <row r="12" spans="1:44" ht="13.5" thickBot="1" x14ac:dyDescent="0.35">
      <c r="A12" s="677"/>
      <c r="B12" s="677"/>
      <c r="C12" s="677"/>
      <c r="D12" s="677"/>
      <c r="E12" s="677"/>
      <c r="F12" s="722"/>
      <c r="G12" s="843"/>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ht="13" x14ac:dyDescent="0.3">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1.0000000000000906</v>
      </c>
      <c r="N13" s="694">
        <f t="shared" ref="N13:N76" si="5">-ATAN(G13/z_RHP)</f>
        <v>-4.2542400468747441E-7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96.720751086805791</v>
      </c>
      <c r="X13" s="699">
        <f t="shared" ref="X13:X76" si="13">((L13+R13+N13+V13)-(J13+P13+T13))*radconv</f>
        <v>-10.258398092910317</v>
      </c>
      <c r="Y13" s="700">
        <f t="shared" ref="Y13:Y76" si="14">IF(X13&gt;0,X13,X13+180)</f>
        <v>169.74160190708969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27.047125371805048</v>
      </c>
      <c r="AH13" s="702">
        <f t="shared" ref="AH13:AH76" si="20">(L13+N13-(J13+V13))*radconv</f>
        <v>-5.5392891746656832E-3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ht="13" x14ac:dyDescent="0.3">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1.0000000000108802</v>
      </c>
      <c r="N14" s="694">
        <f t="shared" si="5"/>
        <v>-4.6647742113646032E-6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89.926076113816023</v>
      </c>
      <c r="X14" s="699">
        <f t="shared" si="13"/>
        <v>-63.267771292963197</v>
      </c>
      <c r="Y14" s="702">
        <f t="shared" si="14"/>
        <v>116.7322287070368</v>
      </c>
      <c r="AA14" s="174">
        <f t="shared" si="15"/>
        <v>1000000000</v>
      </c>
      <c r="AB14" s="174">
        <f t="shared" si="16"/>
        <v>1.2023122500000001</v>
      </c>
      <c r="AD14" s="701">
        <f t="shared" si="17"/>
        <v>88.273848729113467</v>
      </c>
      <c r="AE14" s="702">
        <f t="shared" si="18"/>
        <v>-63.205454162803761</v>
      </c>
      <c r="AG14" s="701">
        <f t="shared" si="19"/>
        <v>27.047120443512526</v>
      </c>
      <c r="AH14" s="702">
        <f t="shared" si="20"/>
        <v>-6.073817154517025E-2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ht="13" x14ac:dyDescent="0.3">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1.0000000000130811</v>
      </c>
      <c r="N15" s="694">
        <f t="shared" si="5"/>
        <v>-5.1148728083132078E-6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89.276580319894308</v>
      </c>
      <c r="X15" s="699">
        <f t="shared" si="13"/>
        <v>-65.331484415030545</v>
      </c>
      <c r="Y15" s="702">
        <f t="shared" si="14"/>
        <v>114.66851558496946</v>
      </c>
      <c r="AA15" s="174">
        <f t="shared" si="15"/>
        <v>1000000000</v>
      </c>
      <c r="AB15" s="174">
        <f t="shared" si="16"/>
        <v>1.4455252899999997</v>
      </c>
      <c r="AD15" s="701">
        <f t="shared" si="17"/>
        <v>87.624353940705731</v>
      </c>
      <c r="AE15" s="702">
        <f t="shared" si="18"/>
        <v>-65.263154381715353</v>
      </c>
      <c r="AG15" s="701">
        <f t="shared" si="19"/>
        <v>27.047119438218658</v>
      </c>
      <c r="AH15" s="702">
        <f t="shared" si="20"/>
        <v>-6.6598719868240244E-2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ht="13" x14ac:dyDescent="0.3">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1.000000000015727</v>
      </c>
      <c r="N16" s="694">
        <f t="shared" si="5"/>
        <v>-5.608364653736512E-6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88.605899560894954</v>
      </c>
      <c r="X16" s="699">
        <f t="shared" si="13"/>
        <v>-67.275291433744371</v>
      </c>
      <c r="Y16" s="702">
        <f t="shared" si="14"/>
        <v>112.72470856625563</v>
      </c>
      <c r="AA16" s="174">
        <f t="shared" si="15"/>
        <v>1000000000</v>
      </c>
      <c r="AB16" s="174">
        <f t="shared" si="16"/>
        <v>1.7379148900000001</v>
      </c>
      <c r="AD16" s="701">
        <f t="shared" si="17"/>
        <v>86.953674390530381</v>
      </c>
      <c r="AE16" s="702">
        <f t="shared" si="18"/>
        <v>-67.200368808182958</v>
      </c>
      <c r="AG16" s="701">
        <f t="shared" si="19"/>
        <v>27.047118229659301</v>
      </c>
      <c r="AH16" s="702">
        <f t="shared" si="20"/>
        <v>-7.3024275280531126E-2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5">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1.0000000000189055</v>
      </c>
      <c r="N17" s="694">
        <f t="shared" si="5"/>
        <v>-6.1490785636756252E-6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87.916953347935788</v>
      </c>
      <c r="X17" s="699">
        <f t="shared" si="13"/>
        <v>-69.096712639003414</v>
      </c>
      <c r="Y17" s="702">
        <f t="shared" si="14"/>
        <v>110.90328736099659</v>
      </c>
      <c r="AA17" s="174">
        <f t="shared" si="15"/>
        <v>1000000000</v>
      </c>
      <c r="AB17" s="174">
        <f t="shared" si="16"/>
        <v>2.0891811599999999</v>
      </c>
      <c r="AD17" s="701">
        <f t="shared" si="17"/>
        <v>86.264729629808116</v>
      </c>
      <c r="AE17" s="702">
        <f t="shared" si="18"/>
        <v>-69.014566578073442</v>
      </c>
      <c r="AG17" s="701">
        <f t="shared" si="19"/>
        <v>27.047116777740314</v>
      </c>
      <c r="AH17" s="702">
        <f t="shared" si="20"/>
        <v>-8.0064685283992257E-2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5">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1.0000000000227309</v>
      </c>
      <c r="N18" s="694">
        <f t="shared" si="5"/>
        <v>-6.7425450501900115E-6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87.210902326055916</v>
      </c>
      <c r="X18" s="699">
        <f t="shared" si="13"/>
        <v>-70.799472979606747</v>
      </c>
      <c r="Y18" s="702">
        <f t="shared" si="14"/>
        <v>109.20052702039325</v>
      </c>
      <c r="AA18" s="174">
        <f t="shared" si="15"/>
        <v>1000000000</v>
      </c>
      <c r="AB18" s="174">
        <f t="shared" si="16"/>
        <v>2.51190801</v>
      </c>
      <c r="AD18" s="701">
        <f t="shared" si="17"/>
        <v>85.558680355603357</v>
      </c>
      <c r="AE18" s="702">
        <f t="shared" si="18"/>
        <v>-70.709398760955509</v>
      </c>
      <c r="AG18" s="701">
        <f t="shared" si="19"/>
        <v>27.047115030447845</v>
      </c>
      <c r="AH18" s="702">
        <f t="shared" si="20"/>
        <v>-8.7791961868269083E-2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5">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1.0000000000273284</v>
      </c>
      <c r="N19" s="694">
        <f t="shared" si="5"/>
        <v>-7.3930183533246832E-6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86.490870394601487</v>
      </c>
      <c r="X19" s="699">
        <f t="shared" si="13"/>
        <v>-72.383499704114655</v>
      </c>
      <c r="Y19" s="702">
        <f t="shared" si="14"/>
        <v>107.61650029588534</v>
      </c>
      <c r="AA19" s="174">
        <f t="shared" si="15"/>
        <v>1000000000</v>
      </c>
      <c r="AB19" s="174">
        <f t="shared" si="16"/>
        <v>3.0199488400000001</v>
      </c>
      <c r="AD19" s="701">
        <f t="shared" si="17"/>
        <v>84.838650524535723</v>
      </c>
      <c r="AE19" s="702">
        <f t="shared" si="18"/>
        <v>-72.284735774211526</v>
      </c>
      <c r="AG19" s="701">
        <f t="shared" si="19"/>
        <v>27.047112930520836</v>
      </c>
      <c r="AH19" s="702">
        <f t="shared" si="20"/>
        <v>-9.6261496856062473E-2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5">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1.0000000000328573</v>
      </c>
      <c r="N20" s="694">
        <f t="shared" si="5"/>
        <v>-8.1064544091427432E-6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85.758324250283465</v>
      </c>
      <c r="X20" s="699">
        <f t="shared" si="13"/>
        <v>-73.853636758246552</v>
      </c>
      <c r="Y20" s="702">
        <f t="shared" si="14"/>
        <v>106.14636324175345</v>
      </c>
      <c r="AA20" s="174">
        <f t="shared" si="15"/>
        <v>1000000000</v>
      </c>
      <c r="AB20" s="174">
        <f t="shared" si="16"/>
        <v>3.63093025</v>
      </c>
      <c r="AD20" s="701">
        <f t="shared" si="17"/>
        <v>84.106106906189126</v>
      </c>
      <c r="AE20" s="702">
        <f t="shared" si="18"/>
        <v>-73.745341999671879</v>
      </c>
      <c r="AG20" s="701">
        <f t="shared" si="19"/>
        <v>27.047110405102401</v>
      </c>
      <c r="AH20" s="702">
        <f t="shared" si="20"/>
        <v>-0.10555083868688539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ht="13" x14ac:dyDescent="0.3">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1.0000000000395017</v>
      </c>
      <c r="N21" s="694">
        <f t="shared" si="5"/>
        <v>-8.8883837297018685E-6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85.015533598696734</v>
      </c>
      <c r="X21" s="699">
        <f t="shared" si="13"/>
        <v>-75.213591105475558</v>
      </c>
      <c r="Y21" s="702">
        <f t="shared" si="14"/>
        <v>104.78640889452444</v>
      </c>
      <c r="AA21" s="174">
        <f t="shared" si="15"/>
        <v>1000000000</v>
      </c>
      <c r="AB21" s="174">
        <f t="shared" si="16"/>
        <v>4.3651744900000002</v>
      </c>
      <c r="AD21" s="701">
        <f t="shared" si="17"/>
        <v>83.363319290175554</v>
      </c>
      <c r="AE21" s="702">
        <f t="shared" si="18"/>
        <v>-75.09485051982081</v>
      </c>
      <c r="AG21" s="701">
        <f t="shared" si="19"/>
        <v>27.047107370193778</v>
      </c>
      <c r="AH21" s="702">
        <f t="shared" si="20"/>
        <v>-0.11573199511990309</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5">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1.0000000000474927</v>
      </c>
      <c r="N22" s="694">
        <f t="shared" si="5"/>
        <v>-9.7460385230773617E-6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84.263469927696931</v>
      </c>
      <c r="X22" s="699">
        <f t="shared" si="13"/>
        <v>-76.469835728543487</v>
      </c>
      <c r="Y22" s="702">
        <f t="shared" si="14"/>
        <v>103.53016427145651</v>
      </c>
      <c r="AA22" s="174">
        <f t="shared" si="15"/>
        <v>1000000000</v>
      </c>
      <c r="AB22" s="174">
        <f t="shared" si="16"/>
        <v>5.2482228100000006</v>
      </c>
      <c r="AD22" s="701">
        <f t="shared" si="17"/>
        <v>82.611259269944242</v>
      </c>
      <c r="AE22" s="702">
        <f t="shared" si="18"/>
        <v>-76.339637702831524</v>
      </c>
      <c r="AG22" s="701">
        <f t="shared" si="19"/>
        <v>27.04710372022452</v>
      </c>
      <c r="AH22" s="702">
        <f t="shared" si="20"/>
        <v>-0.12689912901298278</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5">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1.0000000000570977</v>
      </c>
      <c r="N23" s="694">
        <f t="shared" si="5"/>
        <v>-1.0686225573338541E-5</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83.503904944654224</v>
      </c>
      <c r="X23" s="699">
        <f t="shared" si="13"/>
        <v>-77.627476574966337</v>
      </c>
      <c r="Y23" s="702">
        <f t="shared" si="14"/>
        <v>102.37252342503366</v>
      </c>
      <c r="AA23" s="174">
        <f t="shared" si="15"/>
        <v>1000000000</v>
      </c>
      <c r="AB23" s="174">
        <f t="shared" si="16"/>
        <v>6.309641609999999</v>
      </c>
      <c r="AD23" s="701">
        <f t="shared" si="17"/>
        <v>81.851698675099385</v>
      </c>
      <c r="AE23" s="702">
        <f t="shared" si="18"/>
        <v>-77.484718570715032</v>
      </c>
      <c r="AG23" s="701">
        <f t="shared" si="19"/>
        <v>27.047099332987379</v>
      </c>
      <c r="AH23" s="702">
        <f t="shared" si="20"/>
        <v>-0.13914086793312211</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5">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1.0000000000686444</v>
      </c>
      <c r="N24" s="694">
        <f t="shared" si="5"/>
        <v>-1.171702793656692E-5</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82.737897454614412</v>
      </c>
      <c r="X24" s="699">
        <f t="shared" si="13"/>
        <v>-78.692780639665813</v>
      </c>
      <c r="Y24" s="702">
        <f t="shared" si="14"/>
        <v>101.30721936033419</v>
      </c>
      <c r="AA24" s="174">
        <f t="shared" si="15"/>
        <v>1000000000</v>
      </c>
      <c r="AB24" s="174">
        <f t="shared" si="16"/>
        <v>7.5856176399999997</v>
      </c>
      <c r="AD24" s="701">
        <f t="shared" si="17"/>
        <v>81.085696460290237</v>
      </c>
      <c r="AE24" s="702">
        <f t="shared" si="18"/>
        <v>-78.536252140095698</v>
      </c>
      <c r="AG24" s="701">
        <f t="shared" si="19"/>
        <v>27.047094058911561</v>
      </c>
      <c r="AH24" s="702">
        <f t="shared" si="20"/>
        <v>-0.15256245175450425</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ht="13" x14ac:dyDescent="0.3">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1.0000000000825331</v>
      </c>
      <c r="N25" s="694">
        <f t="shared" si="5"/>
        <v>-1.284780494085559E-5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81.966041969602784</v>
      </c>
      <c r="X25" s="699">
        <f t="shared" si="13"/>
        <v>-79.672371297323423</v>
      </c>
      <c r="Y25" s="702">
        <f t="shared" si="14"/>
        <v>100.32762870267658</v>
      </c>
      <c r="AA25" s="174">
        <f t="shared" si="15"/>
        <v>1000000000</v>
      </c>
      <c r="AB25" s="174">
        <f t="shared" si="16"/>
        <v>9.1204000000000001</v>
      </c>
      <c r="AD25" s="701">
        <f t="shared" si="17"/>
        <v>80.31384732047627</v>
      </c>
      <c r="AE25" s="702">
        <f t="shared" si="18"/>
        <v>-79.500736760503372</v>
      </c>
      <c r="AG25" s="701">
        <f t="shared" si="19"/>
        <v>27.047087715102968</v>
      </c>
      <c r="AH25" s="702">
        <f t="shared" si="20"/>
        <v>-0.16728573772834515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ht="13" x14ac:dyDescent="0.3">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1.0000000000992229</v>
      </c>
      <c r="N26" s="694">
        <f t="shared" si="5"/>
        <v>-1.4087065066285353E-5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81.189939715220845</v>
      </c>
      <c r="X26" s="699">
        <f t="shared" si="13"/>
        <v>-80.571349373975508</v>
      </c>
      <c r="Y26" s="702">
        <f t="shared" si="14"/>
        <v>99.428650626024492</v>
      </c>
      <c r="AA26" s="174">
        <f t="shared" si="15"/>
        <v>1000000000</v>
      </c>
      <c r="AB26" s="174">
        <f t="shared" si="16"/>
        <v>10.964707690000001</v>
      </c>
      <c r="AD26" s="701">
        <f t="shared" si="17"/>
        <v>79.537752690939655</v>
      </c>
      <c r="AE26" s="702">
        <f t="shared" si="18"/>
        <v>-80.383159600869149</v>
      </c>
      <c r="AG26" s="701">
        <f t="shared" si="19"/>
        <v>27.047080091926929</v>
      </c>
      <c r="AH26" s="702">
        <f t="shared" si="20"/>
        <v>-0.18342150201900553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5">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1.0000000001192939</v>
      </c>
      <c r="N27" s="694">
        <f t="shared" si="5"/>
        <v>-1.5446294760965318E-5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80.409705514676858</v>
      </c>
      <c r="X27" s="699">
        <f t="shared" si="13"/>
        <v>-81.396331305368065</v>
      </c>
      <c r="Y27" s="702">
        <f t="shared" si="14"/>
        <v>98.603668694631935</v>
      </c>
      <c r="AA27" s="174">
        <f t="shared" si="15"/>
        <v>1000000000</v>
      </c>
      <c r="AB27" s="174">
        <f t="shared" si="16"/>
        <v>13.182708639999998</v>
      </c>
      <c r="AD27" s="701">
        <f t="shared" si="17"/>
        <v>78.757527660167895</v>
      </c>
      <c r="AE27" s="702">
        <f t="shared" si="18"/>
        <v>-81.189983660507977</v>
      </c>
      <c r="AG27" s="701">
        <f t="shared" si="19"/>
        <v>27.047070924162178</v>
      </c>
      <c r="AH27" s="702">
        <f t="shared" si="20"/>
        <v>-0.20111929314089352</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5">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1.0000000001434235</v>
      </c>
      <c r="N28" s="694">
        <f t="shared" si="5"/>
        <v>-1.6936555048994666E-5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79.626260526617514</v>
      </c>
      <c r="X28" s="699">
        <f t="shared" si="13"/>
        <v>-82.152623014469143</v>
      </c>
      <c r="Y28" s="702">
        <f t="shared" si="14"/>
        <v>97.847376985530857</v>
      </c>
      <c r="AA28" s="174">
        <f t="shared" si="15"/>
        <v>1000000000</v>
      </c>
      <c r="AB28" s="174">
        <f t="shared" si="16"/>
        <v>15.849157210000001</v>
      </c>
      <c r="AD28" s="701">
        <f t="shared" si="17"/>
        <v>77.974093695850087</v>
      </c>
      <c r="AE28" s="702">
        <f t="shared" si="18"/>
        <v>-81.926367113398342</v>
      </c>
      <c r="AG28" s="701">
        <f t="shared" si="19"/>
        <v>27.047059902833972</v>
      </c>
      <c r="AH28" s="702">
        <f t="shared" si="20"/>
        <v>-0.22052311723951878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5">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1.0000000001724336</v>
      </c>
      <c r="N29" s="694">
        <f t="shared" si="5"/>
        <v>-1.8570608650483949E-5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78.84006858132733</v>
      </c>
      <c r="X29" s="699">
        <f t="shared" si="13"/>
        <v>-82.845672741190668</v>
      </c>
      <c r="Y29" s="702">
        <f t="shared" si="14"/>
        <v>97.154327258809332</v>
      </c>
      <c r="AA29" s="174">
        <f t="shared" si="15"/>
        <v>1000000000</v>
      </c>
      <c r="AB29" s="174">
        <f t="shared" si="16"/>
        <v>19.054971039999998</v>
      </c>
      <c r="AD29" s="701">
        <f t="shared" si="17"/>
        <v>77.187915004130488</v>
      </c>
      <c r="AE29" s="702">
        <f t="shared" si="18"/>
        <v>-82.597587721856797</v>
      </c>
      <c r="AG29" s="701">
        <f t="shared" si="19"/>
        <v>27.047046652164926</v>
      </c>
      <c r="AH29" s="702">
        <f t="shared" si="20"/>
        <v>-0.2417991319072062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5">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1.0000000002073071</v>
      </c>
      <c r="N30" s="694">
        <f t="shared" si="5"/>
        <v>-2.0362069133543683E-5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78.051686101372567</v>
      </c>
      <c r="X30" s="699">
        <f t="shared" si="13"/>
        <v>-83.480478532754219</v>
      </c>
      <c r="Y30" s="702">
        <f t="shared" si="14"/>
        <v>96.519521467245781</v>
      </c>
      <c r="AA30" s="174">
        <f t="shared" si="15"/>
        <v>1000000000</v>
      </c>
      <c r="AB30" s="174">
        <f t="shared" si="16"/>
        <v>22.908667689999998</v>
      </c>
      <c r="AD30" s="701">
        <f t="shared" si="17"/>
        <v>76.399548456189152</v>
      </c>
      <c r="AE30" s="702">
        <f t="shared" si="18"/>
        <v>-83.20846169488928</v>
      </c>
      <c r="AG30" s="701">
        <f t="shared" si="19"/>
        <v>27.047030723639416</v>
      </c>
      <c r="AH30" s="702">
        <f t="shared" si="20"/>
        <v>-0.26512456619598707</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5">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1.0000000002492402</v>
      </c>
      <c r="N31" s="694">
        <f t="shared" si="5"/>
        <v>-2.2326677186294886E-5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77.26125767963191</v>
      </c>
      <c r="X31" s="699">
        <f t="shared" si="13"/>
        <v>-84.062001563085644</v>
      </c>
      <c r="Y31" s="702">
        <f t="shared" si="14"/>
        <v>95.937998436914356</v>
      </c>
      <c r="AA31" s="174">
        <f t="shared" si="15"/>
        <v>1000000000</v>
      </c>
      <c r="AB31" s="174">
        <f t="shared" si="16"/>
        <v>27.542553609999999</v>
      </c>
      <c r="AD31" s="701">
        <f t="shared" si="17"/>
        <v>75.60913919185532</v>
      </c>
      <c r="AE31" s="702">
        <f t="shared" si="18"/>
        <v>-83.763739961526781</v>
      </c>
      <c r="AG31" s="701">
        <f t="shared" si="19"/>
        <v>27.047011570426648</v>
      </c>
      <c r="AH31" s="702">
        <f t="shared" si="20"/>
        <v>-0.29070433742484891</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5">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1.0000000002996499</v>
      </c>
      <c r="N32" s="694">
        <f t="shared" si="5"/>
        <v>-2.44805989208471E-5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76.469308977802541</v>
      </c>
      <c r="X32" s="699">
        <f t="shared" si="13"/>
        <v>-84.594550993518055</v>
      </c>
      <c r="Y32" s="702">
        <f t="shared" si="14"/>
        <v>95.405449006481945</v>
      </c>
      <c r="AA32" s="174">
        <f t="shared" si="15"/>
        <v>1000000000</v>
      </c>
      <c r="AB32" s="174">
        <f t="shared" si="16"/>
        <v>33.113119360000006</v>
      </c>
      <c r="AD32" s="701">
        <f t="shared" si="17"/>
        <v>74.817213519741813</v>
      </c>
      <c r="AE32" s="702">
        <f t="shared" si="18"/>
        <v>-84.267515766203644</v>
      </c>
      <c r="AG32" s="701">
        <f t="shared" si="19"/>
        <v>27.046988545752622</v>
      </c>
      <c r="AH32" s="702">
        <f t="shared" si="20"/>
        <v>-0.3187488911065825</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5">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1.0000000003602614</v>
      </c>
      <c r="N33" s="694">
        <f t="shared" si="5"/>
        <v>-2.6842552993315613E-5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75.675944477997334</v>
      </c>
      <c r="X33" s="699">
        <f t="shared" si="13"/>
        <v>-85.082399540144408</v>
      </c>
      <c r="Y33" s="702">
        <f t="shared" si="14"/>
        <v>94.917600459855592</v>
      </c>
      <c r="AA33" s="174">
        <f t="shared" si="15"/>
        <v>1000000000</v>
      </c>
      <c r="AB33" s="174">
        <f t="shared" si="16"/>
        <v>39.811052159999996</v>
      </c>
      <c r="AD33" s="701">
        <f t="shared" si="17"/>
        <v>74.023876710227967</v>
      </c>
      <c r="AE33" s="702">
        <f t="shared" si="18"/>
        <v>-84.723811823321199</v>
      </c>
      <c r="AG33" s="701">
        <f t="shared" si="19"/>
        <v>27.046960861523463</v>
      </c>
      <c r="AH33" s="702">
        <f t="shared" si="20"/>
        <v>-0.34950189239931367</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5">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1.0000000004331244</v>
      </c>
      <c r="N34" s="694">
        <f t="shared" si="5"/>
        <v>-2.9432108907796805E-5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74.881545143897995</v>
      </c>
      <c r="X34" s="699">
        <f t="shared" si="13"/>
        <v>-85.529318357288986</v>
      </c>
      <c r="Y34" s="702">
        <f t="shared" si="14"/>
        <v>94.470681642711014</v>
      </c>
      <c r="AA34" s="174">
        <f t="shared" si="15"/>
        <v>1000000000</v>
      </c>
      <c r="AB34" s="174">
        <f t="shared" si="16"/>
        <v>47.862874890000008</v>
      </c>
      <c r="AD34" s="701">
        <f t="shared" si="17"/>
        <v>73.229510663376971</v>
      </c>
      <c r="AE34" s="702">
        <f t="shared" si="18"/>
        <v>-85.136137939283287</v>
      </c>
      <c r="AG34" s="701">
        <f t="shared" si="19"/>
        <v>27.046927581562684</v>
      </c>
      <c r="AH34" s="702">
        <f t="shared" si="20"/>
        <v>-0.38321806623707194</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5">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1.000000000520735</v>
      </c>
      <c r="N35" s="694">
        <f t="shared" si="5"/>
        <v>-3.2271814136381008E-5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74.086124063049297</v>
      </c>
      <c r="X35" s="699">
        <f t="shared" si="13"/>
        <v>-85.938990817974272</v>
      </c>
      <c r="Y35" s="702">
        <f t="shared" si="14"/>
        <v>94.061009182025728</v>
      </c>
      <c r="AA35" s="174">
        <f t="shared" si="15"/>
        <v>1000000000</v>
      </c>
      <c r="AB35" s="174">
        <f t="shared" si="16"/>
        <v>57.544361639999998</v>
      </c>
      <c r="AD35" s="701">
        <f t="shared" si="17"/>
        <v>72.434129606674944</v>
      </c>
      <c r="AE35" s="702">
        <f t="shared" si="18"/>
        <v>-85.507876381764149</v>
      </c>
      <c r="AG35" s="701">
        <f t="shared" si="19"/>
        <v>27.046887566178512</v>
      </c>
      <c r="AH35" s="702">
        <f t="shared" si="20"/>
        <v>-0.42019088435193108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5">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1.0000000006260514</v>
      </c>
      <c r="N36" s="694">
        <f t="shared" si="5"/>
        <v>-3.5385066999118927E-5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73.290030318514255</v>
      </c>
      <c r="X36" s="699">
        <f t="shared" si="13"/>
        <v>-86.314637195169766</v>
      </c>
      <c r="Y36" s="702">
        <f t="shared" si="14"/>
        <v>93.685362804830234</v>
      </c>
      <c r="AA36" s="174">
        <f t="shared" si="15"/>
        <v>1000000000</v>
      </c>
      <c r="AB36" s="174">
        <f t="shared" si="16"/>
        <v>69.182469760000004</v>
      </c>
      <c r="AD36" s="701">
        <f t="shared" si="17"/>
        <v>71.638083974649163</v>
      </c>
      <c r="AE36" s="702">
        <f t="shared" si="18"/>
        <v>-85.841934986832243</v>
      </c>
      <c r="AG36" s="701">
        <f t="shared" si="19"/>
        <v>27.046839464202677</v>
      </c>
      <c r="AH36" s="702">
        <f t="shared" si="20"/>
        <v>-0.46072486432595849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5">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1.0000000007526848</v>
      </c>
      <c r="N37" s="694">
        <f t="shared" si="5"/>
        <v>-3.8799094632035707E-5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72.4931880035234</v>
      </c>
      <c r="X37" s="699">
        <f t="shared" si="13"/>
        <v>-86.659423658591635</v>
      </c>
      <c r="Y37" s="702">
        <f t="shared" si="14"/>
        <v>93.340576341408365</v>
      </c>
      <c r="AA37" s="174">
        <f t="shared" si="15"/>
        <v>1000000000</v>
      </c>
      <c r="AB37" s="174">
        <f t="shared" si="16"/>
        <v>83.176224010000013</v>
      </c>
      <c r="AD37" s="701">
        <f t="shared" si="17"/>
        <v>70.841299509818498</v>
      </c>
      <c r="AE37" s="702">
        <f t="shared" si="18"/>
        <v>-86.141116384414218</v>
      </c>
      <c r="AG37" s="701">
        <f t="shared" si="19"/>
        <v>27.046781626708004</v>
      </c>
      <c r="AH37" s="702">
        <f t="shared" si="20"/>
        <v>-0.50517433024783132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5">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1.0000000009049279</v>
      </c>
      <c r="N38" s="694">
        <f t="shared" si="5"/>
        <v>-4.2542400443084799E-5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71.695825652016879</v>
      </c>
      <c r="X38" s="699">
        <f t="shared" si="13"/>
        <v>-86.976128742312198</v>
      </c>
      <c r="Y38" s="702">
        <f t="shared" si="14"/>
        <v>93.023871257687802</v>
      </c>
      <c r="AA38" s="174">
        <f t="shared" si="15"/>
        <v>1000000000</v>
      </c>
      <c r="AB38" s="174">
        <f t="shared" si="16"/>
        <v>100</v>
      </c>
      <c r="AD38" s="701">
        <f t="shared" si="17"/>
        <v>70.044006706758111</v>
      </c>
      <c r="AE38" s="702">
        <f t="shared" si="18"/>
        <v>-86.4078185777893</v>
      </c>
      <c r="AG38" s="701">
        <f t="shared" si="19"/>
        <v>27.0467120934888</v>
      </c>
      <c r="AH38" s="702">
        <f t="shared" si="20"/>
        <v>-0.55391016441993424</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5">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1.0000000010880059</v>
      </c>
      <c r="N39" s="694">
        <f t="shared" si="5"/>
        <v>-4.6647742080149035E-5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70.897844762494714</v>
      </c>
      <c r="X39" s="699">
        <f t="shared" si="13"/>
        <v>-87.267439501867244</v>
      </c>
      <c r="Y39" s="702">
        <f t="shared" si="14"/>
        <v>92.732560498132756</v>
      </c>
      <c r="AA39" s="174">
        <f t="shared" si="15"/>
        <v>1000000000</v>
      </c>
      <c r="AB39" s="174">
        <f t="shared" si="16"/>
        <v>120.23122499999999</v>
      </c>
      <c r="AD39" s="701">
        <f t="shared" si="17"/>
        <v>69.246109450390207</v>
      </c>
      <c r="AE39" s="702">
        <f t="shared" si="18"/>
        <v>-86.644291340770508</v>
      </c>
      <c r="AG39" s="701">
        <f t="shared" si="19"/>
        <v>27.046628478645488</v>
      </c>
      <c r="AH39" s="702">
        <f t="shared" si="20"/>
        <v>-0.60735856139385336</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5">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1.0000000013080961</v>
      </c>
      <c r="N40" s="694">
        <f t="shared" si="5"/>
        <v>-5.1148728038973162E-5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70.09957175773431</v>
      </c>
      <c r="X40" s="699">
        <f t="shared" si="13"/>
        <v>-87.535680491115556</v>
      </c>
      <c r="Y40" s="702">
        <f t="shared" si="14"/>
        <v>92.464319508884444</v>
      </c>
      <c r="AA40" s="174">
        <f t="shared" si="15"/>
        <v>1000000000</v>
      </c>
      <c r="AB40" s="174">
        <f t="shared" si="16"/>
        <v>144.55252899999999</v>
      </c>
      <c r="AD40" s="701">
        <f t="shared" si="17"/>
        <v>68.447936984487342</v>
      </c>
      <c r="AE40" s="702">
        <f t="shared" si="18"/>
        <v>-86.852410679677504</v>
      </c>
      <c r="AG40" s="701">
        <f t="shared" si="19"/>
        <v>27.046527961800773</v>
      </c>
      <c r="AH40" s="702">
        <f t="shared" si="20"/>
        <v>-0.66595669136723534</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5">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1.0000000015726878</v>
      </c>
      <c r="N41" s="694">
        <f t="shared" si="5"/>
        <v>-5.6083646479151758E-5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69.301035636432445</v>
      </c>
      <c r="X41" s="699">
        <f t="shared" si="13"/>
        <v>-87.783105856736427</v>
      </c>
      <c r="Y41" s="702">
        <f t="shared" si="14"/>
        <v>92.216894143263573</v>
      </c>
      <c r="AA41" s="174">
        <f t="shared" si="15"/>
        <v>1000000000</v>
      </c>
      <c r="AB41" s="174">
        <f t="shared" si="16"/>
        <v>173.79148899999998</v>
      </c>
      <c r="AD41" s="701">
        <f t="shared" si="17"/>
        <v>67.649521727458051</v>
      </c>
      <c r="AE41" s="702">
        <f t="shared" si="18"/>
        <v>-87.033919818342724</v>
      </c>
      <c r="AG41" s="701">
        <f t="shared" si="19"/>
        <v>27.04640712399188</v>
      </c>
      <c r="AH41" s="702">
        <f t="shared" si="20"/>
        <v>-0.73020251867294661</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5">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1.0000000018905584</v>
      </c>
      <c r="N42" s="694">
        <f t="shared" si="5"/>
        <v>-6.1490785560029985E-5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68.502782254743082</v>
      </c>
      <c r="X42" s="699">
        <f t="shared" si="13"/>
        <v>-88.011653134287286</v>
      </c>
      <c r="Y42" s="702">
        <f t="shared" si="14"/>
        <v>91.988346865712714</v>
      </c>
      <c r="AA42" s="174">
        <f t="shared" si="15"/>
        <v>1000000000</v>
      </c>
      <c r="AB42" s="174">
        <f t="shared" si="16"/>
        <v>208.91811600000003</v>
      </c>
      <c r="AD42" s="701">
        <f t="shared" si="17"/>
        <v>66.851413543279079</v>
      </c>
      <c r="AE42" s="702">
        <f t="shared" si="18"/>
        <v>-87.190245540481655</v>
      </c>
      <c r="AG42" s="701">
        <f t="shared" si="19"/>
        <v>27.046261958274012</v>
      </c>
      <c r="AH42" s="702">
        <f t="shared" si="20"/>
        <v>-0.80059383413816465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5">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1.0000000022730957</v>
      </c>
      <c r="N43" s="694">
        <f t="shared" si="5"/>
        <v>-6.7425450400745548E-5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67.703502510594731</v>
      </c>
      <c r="X43" s="699">
        <f t="shared" si="13"/>
        <v>-88.223618261337094</v>
      </c>
      <c r="Y43" s="702">
        <f t="shared" si="14"/>
        <v>91.776381738662906</v>
      </c>
      <c r="AA43" s="174">
        <f t="shared" si="15"/>
        <v>1000000000</v>
      </c>
      <c r="AB43" s="174">
        <f t="shared" si="16"/>
        <v>251.19080099999999</v>
      </c>
      <c r="AD43" s="701">
        <f t="shared" si="17"/>
        <v>66.052308528762111</v>
      </c>
      <c r="AE43" s="702">
        <f t="shared" si="18"/>
        <v>-87.322945973846316</v>
      </c>
      <c r="AG43" s="701">
        <f t="shared" si="19"/>
        <v>27.046087266902905</v>
      </c>
      <c r="AH43" s="702">
        <f t="shared" si="20"/>
        <v>-0.87784972747899814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5">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1.000000002732836</v>
      </c>
      <c r="N44" s="694">
        <f t="shared" si="5"/>
        <v>-7.3930183399901052E-5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66.904346644203486</v>
      </c>
      <c r="X44" s="699">
        <f t="shared" si="13"/>
        <v>-88.420470415233424</v>
      </c>
      <c r="Y44" s="702">
        <f t="shared" si="14"/>
        <v>91.579529584766576</v>
      </c>
      <c r="AA44" s="174">
        <f t="shared" si="15"/>
        <v>1000000000</v>
      </c>
      <c r="AB44" s="174">
        <f t="shared" si="16"/>
        <v>301.99488400000001</v>
      </c>
      <c r="AD44" s="701">
        <f t="shared" si="17"/>
        <v>65.253362646326167</v>
      </c>
      <c r="AE44" s="702">
        <f t="shared" si="18"/>
        <v>-87.432923257294249</v>
      </c>
      <c r="AG44" s="701">
        <f t="shared" si="19"/>
        <v>27.045877328929503</v>
      </c>
      <c r="AH44" s="702">
        <f t="shared" si="20"/>
        <v>-0.96252283828380425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5">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1.0000000032857301</v>
      </c>
      <c r="N45" s="694">
        <f t="shared" si="5"/>
        <v>-8.1064543915632323E-5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66.10480005863414</v>
      </c>
      <c r="X45" s="699">
        <f t="shared" si="13"/>
        <v>-88.604003544923586</v>
      </c>
      <c r="Y45" s="702">
        <f t="shared" si="14"/>
        <v>91.395996455076414</v>
      </c>
      <c r="AA45" s="174">
        <f t="shared" si="15"/>
        <v>1000000000</v>
      </c>
      <c r="AB45" s="174">
        <f t="shared" si="16"/>
        <v>363.09302500000001</v>
      </c>
      <c r="AD45" s="701">
        <f t="shared" si="17"/>
        <v>64.454068578774027</v>
      </c>
      <c r="AE45" s="702">
        <f t="shared" si="18"/>
        <v>-87.521177420581751</v>
      </c>
      <c r="AG45" s="701">
        <f t="shared" si="19"/>
        <v>27.045624866211217</v>
      </c>
      <c r="AH45" s="702">
        <f t="shared" si="20"/>
        <v>-1.0553869244877272</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5">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1.0000000039501682</v>
      </c>
      <c r="N46" s="694">
        <f t="shared" si="5"/>
        <v>-8.8883837065288648E-5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65.305454762471058</v>
      </c>
      <c r="X46" s="699">
        <f t="shared" si="13"/>
        <v>-88.77563593062446</v>
      </c>
      <c r="Y46" s="702">
        <f t="shared" si="14"/>
        <v>91.22436406937554</v>
      </c>
      <c r="AA46" s="174">
        <f t="shared" si="15"/>
        <v>1000000000</v>
      </c>
      <c r="AB46" s="174">
        <f t="shared" si="16"/>
        <v>436.51744900000006</v>
      </c>
      <c r="AD46" s="701">
        <f t="shared" si="17"/>
        <v>63.655026725615052</v>
      </c>
      <c r="AE46" s="702">
        <f t="shared" si="18"/>
        <v>-87.588390169028273</v>
      </c>
      <c r="AG46" s="701">
        <f t="shared" si="19"/>
        <v>27.045321489662271</v>
      </c>
      <c r="AH46" s="702">
        <f t="shared" si="20"/>
        <v>-1.157159841815993</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5">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1.0000000047492632</v>
      </c>
      <c r="N47" s="694">
        <f t="shared" si="5"/>
        <v>-9.7460384925282707E-5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64.50571213510986</v>
      </c>
      <c r="X47" s="699">
        <f t="shared" si="13"/>
        <v>-88.936949802062372</v>
      </c>
      <c r="Y47" s="702">
        <f t="shared" si="14"/>
        <v>91.063050197937628</v>
      </c>
      <c r="AA47" s="174">
        <f t="shared" si="15"/>
        <v>1000000000</v>
      </c>
      <c r="AB47" s="174">
        <f t="shared" si="16"/>
        <v>524.82228100000009</v>
      </c>
      <c r="AD47" s="701">
        <f t="shared" si="17"/>
        <v>62.855649009827623</v>
      </c>
      <c r="AE47" s="702">
        <f t="shared" si="18"/>
        <v>-87.635180601415982</v>
      </c>
      <c r="AG47" s="701">
        <f t="shared" si="19"/>
        <v>27.044956658011728</v>
      </c>
      <c r="AH47" s="702">
        <f t="shared" si="20"/>
        <v>-1.2687802410392741</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5">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1.0000000057097709</v>
      </c>
      <c r="N48" s="694">
        <f t="shared" si="5"/>
        <v>-1.0686225533068048E-4</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63.706036129461687</v>
      </c>
      <c r="X48" s="699">
        <f t="shared" si="13"/>
        <v>-89.089213693586913</v>
      </c>
      <c r="Y48" s="702">
        <f t="shared" si="14"/>
        <v>90.910786306413087</v>
      </c>
      <c r="AA48" s="174">
        <f t="shared" si="15"/>
        <v>1000000000</v>
      </c>
      <c r="AB48" s="174">
        <f t="shared" si="16"/>
        <v>630.96416099999999</v>
      </c>
      <c r="AD48" s="701">
        <f t="shared" si="17"/>
        <v>62.056411585143152</v>
      </c>
      <c r="AE48" s="702">
        <f t="shared" si="18"/>
        <v>-87.661911850459774</v>
      </c>
      <c r="AG48" s="701">
        <f t="shared" si="19"/>
        <v>27.044518173115229</v>
      </c>
      <c r="AH48" s="702">
        <f t="shared" si="20"/>
        <v>-1.3911304838184175</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5">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1.000000006864437</v>
      </c>
      <c r="N49" s="694">
        <f t="shared" si="5"/>
        <v>-1.1717027883482593E-4</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62.90631470288168</v>
      </c>
      <c r="X49" s="699">
        <f t="shared" si="13"/>
        <v>-89.233740023439793</v>
      </c>
      <c r="Y49" s="702">
        <f t="shared" si="14"/>
        <v>90.766259976560207</v>
      </c>
      <c r="AA49" s="174">
        <f t="shared" si="15"/>
        <v>1000000000</v>
      </c>
      <c r="AB49" s="174">
        <f t="shared" si="16"/>
        <v>758.56176400000004</v>
      </c>
      <c r="AD49" s="701">
        <f t="shared" si="17"/>
        <v>61.257217336515055</v>
      </c>
      <c r="AE49" s="702">
        <f t="shared" si="18"/>
        <v>-87.668821718458716</v>
      </c>
      <c r="AG49" s="701">
        <f t="shared" si="19"/>
        <v>27.043991110649763</v>
      </c>
      <c r="AH49" s="702">
        <f t="shared" si="20"/>
        <v>-1.5252578257091065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5">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1.0000000082533045</v>
      </c>
      <c r="N50" s="694">
        <f t="shared" si="5"/>
        <v>-1.2847804870871269E-4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62.106124148345842</v>
      </c>
      <c r="X50" s="699">
        <f t="shared" si="13"/>
        <v>-89.371822689578835</v>
      </c>
      <c r="Y50" s="702">
        <f t="shared" si="14"/>
        <v>90.628177310421165</v>
      </c>
      <c r="AA50" s="174">
        <f t="shared" si="15"/>
        <v>1000000000</v>
      </c>
      <c r="AB50" s="174">
        <f t="shared" si="16"/>
        <v>912.04</v>
      </c>
      <c r="AD50" s="701">
        <f t="shared" si="17"/>
        <v>60.457660802729819</v>
      </c>
      <c r="AE50" s="702">
        <f t="shared" si="18"/>
        <v>-87.655960706108488</v>
      </c>
      <c r="AG50" s="701">
        <f t="shared" si="19"/>
        <v>27.043357228809683</v>
      </c>
      <c r="AH50" s="702">
        <f t="shared" si="20"/>
        <v>-1.6723739844583911</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5">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1.0000000099222701</v>
      </c>
      <c r="N51" s="694">
        <f t="shared" si="5"/>
        <v>-1.4087064974033415E-4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61.306230253826683</v>
      </c>
      <c r="X51" s="699">
        <f t="shared" si="13"/>
        <v>-89.504494901562339</v>
      </c>
      <c r="Y51" s="702">
        <f t="shared" si="14"/>
        <v>90.495505098437661</v>
      </c>
      <c r="AA51" s="174">
        <f t="shared" si="15"/>
        <v>1000000000</v>
      </c>
      <c r="AB51" s="174">
        <f t="shared" si="16"/>
        <v>1096.470769</v>
      </c>
      <c r="AD51" s="701">
        <f t="shared" si="17"/>
        <v>59.658528671910112</v>
      </c>
      <c r="AE51" s="702">
        <f t="shared" si="18"/>
        <v>-87.623234292360593</v>
      </c>
      <c r="AG51" s="701">
        <f t="shared" si="19"/>
        <v>27.04259563203539</v>
      </c>
      <c r="AH51" s="702">
        <f t="shared" si="20"/>
        <v>-1.8335778905585349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5">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1.000000011929401</v>
      </c>
      <c r="N52" s="694">
        <f t="shared" si="5"/>
        <v>-1.5446294639350391E-4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60.505989036264069</v>
      </c>
      <c r="X52" s="699">
        <f t="shared" si="13"/>
        <v>-89.632983645064854</v>
      </c>
      <c r="Y52" s="702">
        <f t="shared" si="14"/>
        <v>90.367016354935146</v>
      </c>
      <c r="AA52" s="174">
        <f t="shared" si="15"/>
        <v>1000000000</v>
      </c>
      <c r="AB52" s="174">
        <f t="shared" si="16"/>
        <v>1318.2708640000001</v>
      </c>
      <c r="AD52" s="701">
        <f t="shared" si="17"/>
        <v>58.859203389556704</v>
      </c>
      <c r="AE52" s="702">
        <f t="shared" si="18"/>
        <v>-87.570347005947099</v>
      </c>
      <c r="AG52" s="701">
        <f t="shared" si="19"/>
        <v>27.041679897573655</v>
      </c>
      <c r="AH52" s="702">
        <f t="shared" si="20"/>
        <v>-2.01035312091205</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5">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1.0000000143423449</v>
      </c>
      <c r="N53" s="694">
        <f t="shared" si="5"/>
        <v>-1.6936554888674128E-4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59.705699949853766</v>
      </c>
      <c r="X53" s="699">
        <f t="shared" si="13"/>
        <v>-89.7583202044339</v>
      </c>
      <c r="Y53" s="702">
        <f t="shared" si="14"/>
        <v>90.2416797955661</v>
      </c>
      <c r="AA53" s="174">
        <f t="shared" si="15"/>
        <v>1000000000</v>
      </c>
      <c r="AB53" s="174">
        <f t="shared" si="16"/>
        <v>1584.9157210000001</v>
      </c>
      <c r="AD53" s="701">
        <f t="shared" si="17"/>
        <v>58.060015171570811</v>
      </c>
      <c r="AE53" s="702">
        <f t="shared" si="18"/>
        <v>-87.496868114937143</v>
      </c>
      <c r="AG53" s="701">
        <f t="shared" si="19"/>
        <v>27.040579270484955</v>
      </c>
      <c r="AH53" s="702">
        <f t="shared" si="20"/>
        <v>-2.2041242517775776</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5">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1.0000000172433752</v>
      </c>
      <c r="N54" s="694">
        <f t="shared" si="5"/>
        <v>-1.8570608439138773E-4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58.905287002291502</v>
      </c>
      <c r="X54" s="699">
        <f t="shared" si="13"/>
        <v>-89.881568431446979</v>
      </c>
      <c r="Y54" s="702">
        <f t="shared" si="14"/>
        <v>90.118431568553021</v>
      </c>
      <c r="AA54" s="174">
        <f t="shared" si="15"/>
        <v>1000000000</v>
      </c>
      <c r="AB54" s="174">
        <f t="shared" si="16"/>
        <v>1905.497104</v>
      </c>
      <c r="AD54" s="701">
        <f t="shared" si="17"/>
        <v>57.260925405205711</v>
      </c>
      <c r="AE54" s="702">
        <f t="shared" si="18"/>
        <v>-87.402177183976434</v>
      </c>
      <c r="AG54" s="701">
        <f t="shared" si="19"/>
        <v>27.039256379440527</v>
      </c>
      <c r="AH54" s="702">
        <f t="shared" si="20"/>
        <v>-2.4165323705609301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5">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1.0000000207306927</v>
      </c>
      <c r="N55" s="694">
        <f t="shared" si="5"/>
        <v>-2.036206885494462E-4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58.104848890445339</v>
      </c>
      <c r="X55" s="699">
        <f t="shared" si="13"/>
        <v>-90.003743692279485</v>
      </c>
      <c r="Y55" s="702">
        <f t="shared" si="14"/>
        <v>89.996256307720515</v>
      </c>
      <c r="AA55" s="174">
        <f t="shared" si="15"/>
        <v>1000000000</v>
      </c>
      <c r="AB55" s="174">
        <f t="shared" si="16"/>
        <v>2290.8667689999997</v>
      </c>
      <c r="AD55" s="701">
        <f t="shared" si="17"/>
        <v>56.462077351160076</v>
      </c>
      <c r="AE55" s="702">
        <f t="shared" si="18"/>
        <v>-87.285498097990541</v>
      </c>
      <c r="AG55" s="701">
        <f t="shared" si="19"/>
        <v>27.037666670431509</v>
      </c>
      <c r="AH55" s="702">
        <f t="shared" si="20"/>
        <v>-2.6493228783346865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5">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1.0000000249240255</v>
      </c>
      <c r="N56" s="694">
        <f t="shared" si="5"/>
        <v>-2.232667681902425E-4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57.304133754635913</v>
      </c>
      <c r="X56" s="699">
        <f t="shared" si="13"/>
        <v>-90.125901204295047</v>
      </c>
      <c r="Y56" s="702">
        <f t="shared" si="14"/>
        <v>89.874098795704953</v>
      </c>
      <c r="AA56" s="174">
        <f t="shared" si="15"/>
        <v>1000000000</v>
      </c>
      <c r="AB56" s="174">
        <f t="shared" si="16"/>
        <v>2754.255361</v>
      </c>
      <c r="AD56" s="701">
        <f t="shared" si="17"/>
        <v>55.663273413392858</v>
      </c>
      <c r="AE56" s="702">
        <f t="shared" si="18"/>
        <v>-87.14581927718362</v>
      </c>
      <c r="AG56" s="701">
        <f t="shared" si="19"/>
        <v>27.035755891794327</v>
      </c>
      <c r="AH56" s="702">
        <f t="shared" si="20"/>
        <v>-2.904509292505407</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5">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1.0000000299649856</v>
      </c>
      <c r="N57" s="694">
        <f t="shared" si="5"/>
        <v>-2.4480598436696984E-4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56.503332333116916</v>
      </c>
      <c r="X57" s="699">
        <f t="shared" si="13"/>
        <v>-90.24902224200234</v>
      </c>
      <c r="Y57" s="702">
        <f t="shared" si="14"/>
        <v>89.75097775799766</v>
      </c>
      <c r="AA57" s="174">
        <f t="shared" si="15"/>
        <v>1000000000</v>
      </c>
      <c r="AB57" s="174">
        <f t="shared" si="16"/>
        <v>3311.3119360000005</v>
      </c>
      <c r="AD57" s="701">
        <f t="shared" si="17"/>
        <v>54.864768401267618</v>
      </c>
      <c r="AE57" s="702">
        <f t="shared" si="18"/>
        <v>-86.982009430082726</v>
      </c>
      <c r="AG57" s="701">
        <f t="shared" si="19"/>
        <v>27.033459986582823</v>
      </c>
      <c r="AH57" s="702">
        <f t="shared" si="20"/>
        <v>-3.1841494589491917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5">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1.0000000360261321</v>
      </c>
      <c r="N58" s="694">
        <f t="shared" si="5"/>
        <v>-2.6842552355073616E-4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55.70225472548583</v>
      </c>
      <c r="X58" s="699">
        <f t="shared" si="13"/>
        <v>-90.374146894230677</v>
      </c>
      <c r="Y58" s="702">
        <f t="shared" si="14"/>
        <v>89.625853105769323</v>
      </c>
      <c r="AA58" s="174">
        <f t="shared" si="15"/>
        <v>1000000000</v>
      </c>
      <c r="AB58" s="174">
        <f t="shared" si="16"/>
        <v>3981.1052159999995</v>
      </c>
      <c r="AD58" s="701">
        <f t="shared" si="17"/>
        <v>54.066450342202124</v>
      </c>
      <c r="AE58" s="702">
        <f t="shared" si="18"/>
        <v>-86.792670352481139</v>
      </c>
      <c r="AG58" s="701">
        <f t="shared" si="19"/>
        <v>27.030701044235567</v>
      </c>
      <c r="AH58" s="702">
        <f t="shared" si="20"/>
        <v>-3.4906183110831304</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5">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1.0000000433124507</v>
      </c>
      <c r="N59" s="694">
        <f t="shared" si="5"/>
        <v>-2.9432108066444166E-4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54.901027377920428</v>
      </c>
      <c r="X59" s="699">
        <f t="shared" si="13"/>
        <v>-90.502272685078907</v>
      </c>
      <c r="Y59" s="702">
        <f t="shared" si="14"/>
        <v>89.497727314921093</v>
      </c>
      <c r="AA59" s="174">
        <f t="shared" si="15"/>
        <v>1000000000</v>
      </c>
      <c r="AB59" s="174">
        <f t="shared" si="16"/>
        <v>4786.2874890000012</v>
      </c>
      <c r="AD59" s="701">
        <f t="shared" si="17"/>
        <v>53.26853802708095</v>
      </c>
      <c r="AE59" s="702">
        <f t="shared" si="18"/>
        <v>-86.576266874400673</v>
      </c>
      <c r="AG59" s="701">
        <f t="shared" si="19"/>
        <v>27.027386740547854</v>
      </c>
      <c r="AH59" s="702">
        <f t="shared" si="20"/>
        <v>-3.8263823029495923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5">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1.000000052073498</v>
      </c>
      <c r="N60" s="694">
        <f t="shared" si="5"/>
        <v>-3.2271813027246924E-4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54.099434434561225</v>
      </c>
      <c r="X60" s="699">
        <f t="shared" si="13"/>
        <v>-90.634463635159776</v>
      </c>
      <c r="Y60" s="702">
        <f t="shared" si="14"/>
        <v>89.365536364840224</v>
      </c>
      <c r="AA60" s="174">
        <f t="shared" si="15"/>
        <v>1000000000</v>
      </c>
      <c r="AB60" s="174">
        <f t="shared" si="16"/>
        <v>5754.4361640000006</v>
      </c>
      <c r="AD60" s="701">
        <f t="shared" si="17"/>
        <v>52.470927721524362</v>
      </c>
      <c r="AE60" s="702">
        <f t="shared" si="18"/>
        <v>-86.330958868806533</v>
      </c>
      <c r="AG60" s="701">
        <f t="shared" si="19"/>
        <v>27.023404978999839</v>
      </c>
      <c r="AH60" s="702">
        <f t="shared" si="20"/>
        <v>-4.1942692625373761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5">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1.0000000626051464</v>
      </c>
      <c r="N61" s="694">
        <f t="shared" si="5"/>
        <v>-3.5385065537029369E-4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53.297620566317654</v>
      </c>
      <c r="X61" s="699">
        <f t="shared" si="13"/>
        <v>-90.771741675813928</v>
      </c>
      <c r="Y61" s="702">
        <f t="shared" si="14"/>
        <v>89.228258324186072</v>
      </c>
      <c r="AA61" s="174">
        <f t="shared" si="15"/>
        <v>1000000000</v>
      </c>
      <c r="AB61" s="174">
        <f t="shared" si="16"/>
        <v>6918.2469760000004</v>
      </c>
      <c r="AD61" s="701">
        <f t="shared" si="17"/>
        <v>51.673896551183994</v>
      </c>
      <c r="AE61" s="702">
        <f t="shared" si="18"/>
        <v>-86.05478358335489</v>
      </c>
      <c r="AG61" s="701">
        <f t="shared" si="19"/>
        <v>27.018623334441475</v>
      </c>
      <c r="AH61" s="702">
        <f t="shared" si="20"/>
        <v>-4.597184673834394</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5">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1.0000000752684846</v>
      </c>
      <c r="N62" s="694">
        <f t="shared" si="5"/>
        <v>-3.8799092704605429E-4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52.495317532629791</v>
      </c>
      <c r="X62" s="699">
        <f t="shared" si="13"/>
        <v>-90.915218894811503</v>
      </c>
      <c r="Y62" s="702">
        <f t="shared" si="14"/>
        <v>89.084781105188497</v>
      </c>
      <c r="AA62" s="174">
        <f t="shared" si="15"/>
        <v>1000000000</v>
      </c>
      <c r="AB62" s="174">
        <f t="shared" si="16"/>
        <v>8317.6224010000005</v>
      </c>
      <c r="AD62" s="701">
        <f t="shared" si="17"/>
        <v>50.877337307671063</v>
      </c>
      <c r="AE62" s="702">
        <f t="shared" si="18"/>
        <v>-85.745402578761258</v>
      </c>
      <c r="AG62" s="701">
        <f t="shared" si="19"/>
        <v>27.012880810816561</v>
      </c>
      <c r="AH62" s="702">
        <f t="shared" si="20"/>
        <v>-5.0384869042416938</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5">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1.0000000904927879</v>
      </c>
      <c r="N63" s="694">
        <f t="shared" si="5"/>
        <v>-4.2542397902229891E-4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51.692572972261381</v>
      </c>
      <c r="X63" s="699">
        <f t="shared" si="13"/>
        <v>-91.065976112434356</v>
      </c>
      <c r="Y63" s="702">
        <f t="shared" si="14"/>
        <v>88.934023887565644</v>
      </c>
      <c r="AA63" s="174">
        <f t="shared" si="15"/>
        <v>1000000000</v>
      </c>
      <c r="AB63" s="174">
        <f t="shared" si="16"/>
        <v>10000</v>
      </c>
      <c r="AD63" s="701">
        <f t="shared" si="17"/>
        <v>50.081488091419232</v>
      </c>
      <c r="AE63" s="702">
        <f t="shared" si="18"/>
        <v>-85.400333058717848</v>
      </c>
      <c r="AG63" s="701">
        <f t="shared" si="19"/>
        <v>27.005986989390038</v>
      </c>
      <c r="AH63" s="702">
        <f t="shared" si="20"/>
        <v>-5.5216430908666787</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5">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1.0000001088005863</v>
      </c>
      <c r="N64" s="694">
        <f t="shared" si="5"/>
        <v>-4.6647738730450181E-4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50.889108754369317</v>
      </c>
      <c r="X64" s="699">
        <f t="shared" si="13"/>
        <v>-91.225178801963565</v>
      </c>
      <c r="Y64" s="702">
        <f t="shared" si="14"/>
        <v>88.774821198036435</v>
      </c>
      <c r="AA64" s="174">
        <f t="shared" si="15"/>
        <v>1000000000</v>
      </c>
      <c r="AB64" s="174">
        <f t="shared" si="16"/>
        <v>12023.122500000001</v>
      </c>
      <c r="AD64" s="701">
        <f t="shared" si="17"/>
        <v>49.286301315149302</v>
      </c>
      <c r="AE64" s="702">
        <f t="shared" si="18"/>
        <v>-85.0166868524893</v>
      </c>
      <c r="AG64" s="701">
        <f t="shared" si="19"/>
        <v>26.997711378859933</v>
      </c>
      <c r="AH64" s="702">
        <f t="shared" si="20"/>
        <v>-6.0505959984171565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5">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1.0000001308096107</v>
      </c>
      <c r="N65" s="694">
        <f t="shared" si="5"/>
        <v>-5.1148723623081738E-4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50.085072668984132</v>
      </c>
      <c r="X65" s="699">
        <f t="shared" si="13"/>
        <v>-91.393930295850865</v>
      </c>
      <c r="Y65" s="702">
        <f t="shared" si="14"/>
        <v>88.606069704149135</v>
      </c>
      <c r="AA65" s="174">
        <f t="shared" si="15"/>
        <v>1000000000</v>
      </c>
      <c r="AB65" s="174">
        <f t="shared" si="16"/>
        <v>14455.252900000001</v>
      </c>
      <c r="AD65" s="701">
        <f t="shared" si="17"/>
        <v>48.492195259891808</v>
      </c>
      <c r="AE65" s="702">
        <f t="shared" si="18"/>
        <v>-84.591497287731997</v>
      </c>
      <c r="AG65" s="701">
        <f t="shared" si="19"/>
        <v>26.987783550009436</v>
      </c>
      <c r="AH65" s="702">
        <f t="shared" si="20"/>
        <v>-6.6293018726659083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5">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1.000000157268758</v>
      </c>
      <c r="N66" s="694">
        <f t="shared" si="5"/>
        <v>-5.6083640657816826E-4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49.280305943173289</v>
      </c>
      <c r="X66" s="699">
        <f t="shared" si="13"/>
        <v>-91.573407269072078</v>
      </c>
      <c r="Y66" s="702">
        <f t="shared" si="14"/>
        <v>88.426592730927922</v>
      </c>
      <c r="AA66" s="174">
        <f t="shared" si="15"/>
        <v>1000000000</v>
      </c>
      <c r="AB66" s="174">
        <f t="shared" si="16"/>
        <v>17379.148900000004</v>
      </c>
      <c r="AD66" s="701">
        <f t="shared" si="17"/>
        <v>47.699336398865633</v>
      </c>
      <c r="AE66" s="702">
        <f t="shared" si="18"/>
        <v>-84.121378042349264</v>
      </c>
      <c r="AG66" s="701">
        <f t="shared" si="19"/>
        <v>26.975878331589456</v>
      </c>
      <c r="AH66" s="702">
        <f t="shared" si="20"/>
        <v>-7.2621941117979141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5">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1.0000001890558181</v>
      </c>
      <c r="N67" s="694">
        <f t="shared" si="5"/>
        <v>-6.1490777887405102E-4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48.475158927372249</v>
      </c>
      <c r="X67" s="699">
        <f t="shared" si="13"/>
        <v>-91.764668911454407</v>
      </c>
      <c r="Y67" s="702">
        <f t="shared" si="14"/>
        <v>88.235331088545593</v>
      </c>
      <c r="AA67" s="174">
        <f t="shared" si="15"/>
        <v>1000000000</v>
      </c>
      <c r="AB67" s="174">
        <f t="shared" si="16"/>
        <v>20891.811599999997</v>
      </c>
      <c r="AD67" s="701">
        <f t="shared" si="17"/>
        <v>46.908452028229888</v>
      </c>
      <c r="AE67" s="702">
        <f t="shared" si="18"/>
        <v>-83.602986462233318</v>
      </c>
      <c r="AG67" s="701">
        <f t="shared" si="19"/>
        <v>26.961618865669834</v>
      </c>
      <c r="AH67" s="702">
        <f t="shared" si="20"/>
        <v>-7.9535449613486948</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5">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1.000000227309543</v>
      </c>
      <c r="N68" s="694">
        <f t="shared" si="5"/>
        <v>-6.7425440285291292E-4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47.668092558636431</v>
      </c>
      <c r="X68" s="699">
        <f t="shared" si="13"/>
        <v>-91.969227178747843</v>
      </c>
      <c r="Y68" s="702">
        <f t="shared" si="14"/>
        <v>88.030772821252157</v>
      </c>
      <c r="AA68" s="174">
        <f t="shared" si="15"/>
        <v>1000000000</v>
      </c>
      <c r="AB68" s="174">
        <f t="shared" si="16"/>
        <v>25119.080100000003</v>
      </c>
      <c r="AD68" s="701">
        <f t="shared" si="17"/>
        <v>46.118487994764195</v>
      </c>
      <c r="AE68" s="702">
        <f t="shared" si="18"/>
        <v>-83.031413707723928</v>
      </c>
      <c r="AG68" s="701">
        <f t="shared" si="19"/>
        <v>26.944520356420352</v>
      </c>
      <c r="AH68" s="702">
        <f t="shared" si="20"/>
        <v>-8.7095880188387298</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5">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1.0000002732835644</v>
      </c>
      <c r="N69" s="694">
        <f t="shared" si="5"/>
        <v>-7.3930170065326949E-4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46.860026072838643</v>
      </c>
      <c r="X69" s="699">
        <f t="shared" si="13"/>
        <v>-92.187970027334472</v>
      </c>
      <c r="Y69" s="702">
        <f t="shared" si="14"/>
        <v>87.812029972665528</v>
      </c>
      <c r="AA69" s="174">
        <f t="shared" si="15"/>
        <v>1000000000</v>
      </c>
      <c r="AB69" s="174">
        <f t="shared" si="16"/>
        <v>30199.488400000002</v>
      </c>
      <c r="AD69" s="701">
        <f t="shared" si="17"/>
        <v>45.330886711554882</v>
      </c>
      <c r="AE69" s="702">
        <f t="shared" si="18"/>
        <v>-82.403077230231247</v>
      </c>
      <c r="AG69" s="701">
        <f t="shared" si="19"/>
        <v>26.924059752011097</v>
      </c>
      <c r="AH69" s="702">
        <f t="shared" si="20"/>
        <v>-9.5346497919416642</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5">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1.0000003285729615</v>
      </c>
      <c r="N70" s="694">
        <f t="shared" si="5"/>
        <v>-8.1064526336129005E-4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46.05016945718873</v>
      </c>
      <c r="X70" s="699">
        <f t="shared" si="13"/>
        <v>-92.422157560603324</v>
      </c>
      <c r="Y70" s="702">
        <f t="shared" si="14"/>
        <v>87.577842439396676</v>
      </c>
      <c r="AA70" s="174">
        <f t="shared" si="15"/>
        <v>1000000000</v>
      </c>
      <c r="AB70" s="174">
        <f t="shared" si="16"/>
        <v>36309.302500000005</v>
      </c>
      <c r="AD70" s="701">
        <f t="shared" si="17"/>
        <v>44.545514986434867</v>
      </c>
      <c r="AE70" s="702">
        <f t="shared" si="18"/>
        <v>-81.712900471339296</v>
      </c>
      <c r="AG70" s="701">
        <f t="shared" si="19"/>
        <v>26.899580391352806</v>
      </c>
      <c r="AH70" s="702">
        <f t="shared" si="20"/>
        <v>-10.434865346132796</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5">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1.0000003950167486</v>
      </c>
      <c r="N71" s="694">
        <f t="shared" si="5"/>
        <v>-8.8883813892296252E-4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45.238819638702523</v>
      </c>
      <c r="X71" s="699">
        <f t="shared" si="13"/>
        <v>-92.672647459981334</v>
      </c>
      <c r="Y71" s="702">
        <f t="shared" si="14"/>
        <v>87.327352540018666</v>
      </c>
      <c r="AA71" s="174">
        <f t="shared" si="15"/>
        <v>1000000000</v>
      </c>
      <c r="AB71" s="174">
        <f t="shared" si="16"/>
        <v>43651.744900000005</v>
      </c>
      <c r="AD71" s="701">
        <f t="shared" si="17"/>
        <v>43.763408346171119</v>
      </c>
      <c r="AE71" s="702">
        <f t="shared" si="18"/>
        <v>-80.95641608083416</v>
      </c>
      <c r="AG71" s="701">
        <f t="shared" si="19"/>
        <v>26.870343858625041</v>
      </c>
      <c r="AH71" s="702">
        <f t="shared" si="20"/>
        <v>-11.41537251775296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5">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1.0000004749262217</v>
      </c>
      <c r="N72" s="694">
        <f t="shared" si="5"/>
        <v>-9.7460354376207963E-4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44.425028199154745</v>
      </c>
      <c r="X72" s="699">
        <f t="shared" si="13"/>
        <v>-92.940524812459969</v>
      </c>
      <c r="Y72" s="702">
        <f t="shared" si="14"/>
        <v>87.059475187540031</v>
      </c>
      <c r="AA72" s="174">
        <f t="shared" si="15"/>
        <v>1000000000</v>
      </c>
      <c r="AB72" s="174">
        <f t="shared" si="16"/>
        <v>52482.2281</v>
      </c>
      <c r="AD72" s="701">
        <f t="shared" si="17"/>
        <v>42.984527806327122</v>
      </c>
      <c r="AE72" s="702">
        <f t="shared" si="18"/>
        <v>-80.127778017486676</v>
      </c>
      <c r="AG72" s="701">
        <f t="shared" si="19"/>
        <v>26.835440951205118</v>
      </c>
      <c r="AH72" s="702">
        <f t="shared" si="20"/>
        <v>-12.482857641353201</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5">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1.000000570976922</v>
      </c>
      <c r="N73" s="694">
        <f t="shared" si="5"/>
        <v>-1.0686221506021483E-3</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43.608884369962375</v>
      </c>
      <c r="X73" s="699">
        <f t="shared" si="13"/>
        <v>-93.22633932921741</v>
      </c>
      <c r="Y73" s="702">
        <f t="shared" si="14"/>
        <v>86.77366067078259</v>
      </c>
      <c r="AA73" s="174">
        <f t="shared" si="15"/>
        <v>1000000000</v>
      </c>
      <c r="AB73" s="174">
        <f t="shared" si="16"/>
        <v>63096.416100000002</v>
      </c>
      <c r="AD73" s="701">
        <f t="shared" si="17"/>
        <v>42.209978706306458</v>
      </c>
      <c r="AE73" s="702">
        <f t="shared" si="18"/>
        <v>-79.221906103413502</v>
      </c>
      <c r="AG73" s="701">
        <f t="shared" si="19"/>
        <v>26.793855828701865</v>
      </c>
      <c r="AH73" s="702">
        <f t="shared" si="20"/>
        <v>-13.642720214209257</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5">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1.0000006864434827</v>
      </c>
      <c r="N74" s="694">
        <f t="shared" si="5"/>
        <v>-1.171702257505406E-3</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42.789848663232839</v>
      </c>
      <c r="X74" s="699">
        <f t="shared" si="13"/>
        <v>-93.530550252524819</v>
      </c>
      <c r="Y74" s="702">
        <f t="shared" si="14"/>
        <v>86.469449747475181</v>
      </c>
      <c r="AA74" s="174">
        <f t="shared" si="15"/>
        <v>1000000000</v>
      </c>
      <c r="AB74" s="174">
        <f t="shared" si="16"/>
        <v>75856.176400000011</v>
      </c>
      <c r="AD74" s="701">
        <f t="shared" si="17"/>
        <v>41.440424222596661</v>
      </c>
      <c r="AE74" s="702">
        <f t="shared" si="18"/>
        <v>-78.23295124604509</v>
      </c>
      <c r="AG74" s="701">
        <f t="shared" si="19"/>
        <v>26.744386154248016</v>
      </c>
      <c r="AH74" s="702">
        <f t="shared" si="20"/>
        <v>-14.900994982128402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5">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1.0000008253301185</v>
      </c>
      <c r="N75" s="694">
        <f t="shared" si="5"/>
        <v>-1.2847797872446336E-3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41.967015177793598</v>
      </c>
      <c r="X75" s="699">
        <f t="shared" si="13"/>
        <v>-93.85338827200178</v>
      </c>
      <c r="Y75" s="702">
        <f t="shared" si="14"/>
        <v>86.14661172799822</v>
      </c>
      <c r="AA75" s="174">
        <f t="shared" si="15"/>
        <v>1000000000</v>
      </c>
      <c r="AB75" s="174">
        <f t="shared" si="16"/>
        <v>91204</v>
      </c>
      <c r="AD75" s="701">
        <f t="shared" si="17"/>
        <v>40.676371025808521</v>
      </c>
      <c r="AE75" s="702">
        <f t="shared" si="18"/>
        <v>-77.154446215048026</v>
      </c>
      <c r="AG75" s="701">
        <f t="shared" si="19"/>
        <v>26.68561975654071</v>
      </c>
      <c r="AH75" s="702">
        <f t="shared" si="20"/>
        <v>-16.264063079527567</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5">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1.0000009922265187</v>
      </c>
      <c r="N76" s="694">
        <f t="shared" si="5"/>
        <v>-1.4087055748850639E-3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41.14066105570339</v>
      </c>
      <c r="X76" s="699">
        <f t="shared" si="13"/>
        <v>-94.194124307516276</v>
      </c>
      <c r="Y76" s="702">
        <f t="shared" si="14"/>
        <v>85.805875692483724</v>
      </c>
      <c r="AA76" s="174">
        <f t="shared" si="15"/>
        <v>1000000000</v>
      </c>
      <c r="AB76" s="174">
        <f t="shared" si="16"/>
        <v>109647.0769</v>
      </c>
      <c r="AD76" s="701">
        <f t="shared" si="17"/>
        <v>39.91961530833894</v>
      </c>
      <c r="AE76" s="702">
        <f t="shared" si="18"/>
        <v>-75.981506476475758</v>
      </c>
      <c r="AG76" s="701">
        <f t="shared" si="19"/>
        <v>26.61603804427568</v>
      </c>
      <c r="AH76" s="702">
        <f t="shared" si="20"/>
        <v>-17.73579197896856</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5">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1.0000011929393977</v>
      </c>
      <c r="N77" s="694">
        <f t="shared" ref="N77:N140" si="41">-ATAN(G77/z_RHP)</f>
        <v>-1.5446282477874962E-3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40.309578869576697</v>
      </c>
      <c r="X77" s="699">
        <f t="shared" ref="X77:X140" si="49">((L77+R77+N77+V77)-(J77+P77+T77))*radconv</f>
        <v>-94.552007247198247</v>
      </c>
      <c r="Y77" s="702">
        <f t="shared" ref="Y77:Y140" si="50">IF(X77&gt;0,X77,X77+180)</f>
        <v>85.447992752801753</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26.533808310336351</v>
      </c>
      <c r="AH77" s="702">
        <f t="shared" ref="AH77:AH140" si="56">(L77+N77-(J77+V77))*radconv</f>
        <v>-19.321771662936861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5">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1.0000014342334564</v>
      </c>
      <c r="N78" s="694">
        <f t="shared" si="41"/>
        <v>-1.6936538856647731E-3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39.47351611875051</v>
      </c>
      <c r="X78" s="699">
        <f t="shared" si="49"/>
        <v>-94.925157289719508</v>
      </c>
      <c r="Y78" s="702">
        <f t="shared" si="50"/>
        <v>85.074842710280492</v>
      </c>
      <c r="AA78" s="174">
        <f t="shared" si="51"/>
        <v>1000000000</v>
      </c>
      <c r="AB78" s="174">
        <f t="shared" si="52"/>
        <v>158491.57210000002</v>
      </c>
      <c r="AD78" s="701">
        <f t="shared" si="53"/>
        <v>38.43158144437551</v>
      </c>
      <c r="AE78" s="702">
        <f t="shared" si="54"/>
        <v>-73.327054898158238</v>
      </c>
      <c r="AG78" s="701">
        <f t="shared" si="55"/>
        <v>26.436971179042747</v>
      </c>
      <c r="AH78" s="702">
        <f t="shared" si="56"/>
        <v>-21.024826334064237</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5">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1.000001724336042</v>
      </c>
      <c r="N79" s="694">
        <f t="shared" si="41"/>
        <v>-1.8570587304664638E-3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38.631834263510463</v>
      </c>
      <c r="X79" s="699">
        <f t="shared" si="49"/>
        <v>-95.310996965685533</v>
      </c>
      <c r="Y79" s="702">
        <f t="shared" si="50"/>
        <v>84.689003034314467</v>
      </c>
      <c r="AA79" s="174">
        <f t="shared" si="51"/>
        <v>1000000000</v>
      </c>
      <c r="AB79" s="174">
        <f t="shared" si="52"/>
        <v>190549.71039999998</v>
      </c>
      <c r="AD79" s="701">
        <f t="shared" si="53"/>
        <v>37.703564833450642</v>
      </c>
      <c r="AE79" s="702">
        <f t="shared" si="54"/>
        <v>-71.835343223208639</v>
      </c>
      <c r="AG79" s="701">
        <f t="shared" si="55"/>
        <v>26.323334949519698</v>
      </c>
      <c r="AH79" s="702">
        <f t="shared" si="56"/>
        <v>-22.847068030514993</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5">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1.0000020730671488</v>
      </c>
      <c r="N80" s="694">
        <f t="shared" si="41"/>
        <v>-2.0362040995107584E-3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37.784110582304102</v>
      </c>
      <c r="X80" s="699">
        <f t="shared" si="49"/>
        <v>-95.705896141394888</v>
      </c>
      <c r="Y80" s="702">
        <f t="shared" si="50"/>
        <v>84.294103858605112</v>
      </c>
      <c r="AA80" s="174">
        <f t="shared" si="51"/>
        <v>1000000000</v>
      </c>
      <c r="AB80" s="174">
        <f t="shared" si="52"/>
        <v>229086.67689999999</v>
      </c>
      <c r="AD80" s="701">
        <f t="shared" si="53"/>
        <v>36.988654309095338</v>
      </c>
      <c r="AE80" s="702">
        <f t="shared" si="54"/>
        <v>-70.228267953580016</v>
      </c>
      <c r="AG80" s="701">
        <f t="shared" si="55"/>
        <v>26.190556671122177</v>
      </c>
      <c r="AH80" s="702">
        <f t="shared" si="56"/>
        <v>-24.78840505852282</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5">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1.0000024923994657</v>
      </c>
      <c r="N81" s="694">
        <f t="shared" si="41"/>
        <v>-2.2326640092070545E-3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36.929621014365168</v>
      </c>
      <c r="X81" s="699">
        <f t="shared" si="49"/>
        <v>-96.10535724021112</v>
      </c>
      <c r="Y81" s="702">
        <f t="shared" si="50"/>
        <v>83.89464275978888</v>
      </c>
      <c r="AA81" s="174">
        <f t="shared" si="51"/>
        <v>1000000000</v>
      </c>
      <c r="AB81" s="174">
        <f t="shared" si="52"/>
        <v>275425.53609999997</v>
      </c>
      <c r="AD81" s="701">
        <f t="shared" si="53"/>
        <v>36.288668919468599</v>
      </c>
      <c r="AE81" s="702">
        <f t="shared" si="54"/>
        <v>-68.502235366764012</v>
      </c>
      <c r="AG81" s="701">
        <f t="shared" si="55"/>
        <v>26.036094432311639</v>
      </c>
      <c r="AH81" s="702">
        <f t="shared" si="56"/>
        <v>-26.847400839746317</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5">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1.0000029964941293</v>
      </c>
      <c r="N82" s="694">
        <f t="shared" si="41"/>
        <v>-2.4480550021859439E-3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36.068228999296124</v>
      </c>
      <c r="X82" s="699">
        <f t="shared" si="49"/>
        <v>-96.503615088473751</v>
      </c>
      <c r="Y82" s="702">
        <f t="shared" si="50"/>
        <v>83.496384911526249</v>
      </c>
      <c r="AA82" s="174">
        <f t="shared" si="51"/>
        <v>1000000000</v>
      </c>
      <c r="AB82" s="174">
        <f t="shared" si="52"/>
        <v>331131.19360000006</v>
      </c>
      <c r="AD82" s="701">
        <f t="shared" si="53"/>
        <v>35.606019439327802</v>
      </c>
      <c r="AE82" s="702">
        <f t="shared" si="54"/>
        <v>-66.656053084654957</v>
      </c>
      <c r="AG82" s="701">
        <f t="shared" si="55"/>
        <v>25.857402314163757</v>
      </c>
      <c r="AH82" s="702">
        <f t="shared" si="56"/>
        <v>-29.018935477859625</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5">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1.0000036026067682</v>
      </c>
      <c r="N83" s="694">
        <f t="shared" si="41"/>
        <v>-2.6842488531149673E-3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35.199561081822758</v>
      </c>
      <c r="X83" s="699">
        <f t="shared" si="49"/>
        <v>-96.894128697523385</v>
      </c>
      <c r="Y83" s="702">
        <f t="shared" si="50"/>
        <v>83.105871302476615</v>
      </c>
      <c r="AA83" s="174">
        <f t="shared" si="51"/>
        <v>1000000000</v>
      </c>
      <c r="AB83" s="174">
        <f t="shared" si="52"/>
        <v>398110.52160000004</v>
      </c>
      <c r="AD83" s="701">
        <f t="shared" si="53"/>
        <v>34.942962538476799</v>
      </c>
      <c r="AE83" s="702">
        <f t="shared" si="54"/>
        <v>-64.689576298552453</v>
      </c>
      <c r="AG83" s="701">
        <f t="shared" si="55"/>
        <v>25.651851917276577</v>
      </c>
      <c r="AH83" s="702">
        <f t="shared" si="56"/>
        <v>-31.295979324439827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5">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1.0000043312357965</v>
      </c>
      <c r="N84" s="694">
        <f t="shared" si="41"/>
        <v>-2.9432023931617178E-3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34.323809997222234</v>
      </c>
      <c r="X84" s="699">
        <f t="shared" si="49"/>
        <v>-97.269439356474365</v>
      </c>
      <c r="Y84" s="702">
        <f t="shared" si="50"/>
        <v>82.730560643525635</v>
      </c>
      <c r="AA84" s="174">
        <f t="shared" si="51"/>
        <v>1000000000</v>
      </c>
      <c r="AB84" s="174">
        <f t="shared" si="52"/>
        <v>478628.74890000006</v>
      </c>
      <c r="AD84" s="701">
        <f t="shared" si="53"/>
        <v>34.302155868849695</v>
      </c>
      <c r="AE84" s="702">
        <f t="shared" si="54"/>
        <v>-62.605694197439782</v>
      </c>
      <c r="AG84" s="701">
        <f t="shared" si="55"/>
        <v>25.416980374922701</v>
      </c>
      <c r="AH84" s="702">
        <f t="shared" si="56"/>
        <v>-33.667522252132116</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5">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1.0000052073363837</v>
      </c>
      <c r="N85" s="694">
        <f t="shared" si="41"/>
        <v>-3.2271702114531437E-3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33.441069663985317</v>
      </c>
      <c r="X85" s="699">
        <f t="shared" si="49"/>
        <v>-97.621820536652663</v>
      </c>
      <c r="Y85" s="702">
        <f t="shared" si="50"/>
        <v>82.378179463347337</v>
      </c>
      <c r="AA85" s="174">
        <f t="shared" si="51"/>
        <v>1000000000</v>
      </c>
      <c r="AB85" s="174">
        <f t="shared" si="52"/>
        <v>575443.61640000006</v>
      </c>
      <c r="AD85" s="701">
        <f t="shared" si="53"/>
        <v>33.686055422608348</v>
      </c>
      <c r="AE85" s="702">
        <f t="shared" si="54"/>
        <v>-60.409080185775785</v>
      </c>
      <c r="AG85" s="701">
        <f t="shared" si="55"/>
        <v>25.150428108994763</v>
      </c>
      <c r="AH85" s="702">
        <f t="shared" si="56"/>
        <v>-36.120401356456007</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5">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1.0000062604952409</v>
      </c>
      <c r="N86" s="694">
        <f t="shared" si="41"/>
        <v>-3.5384919329172282E-3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32.552140312320489</v>
      </c>
      <c r="X86" s="699">
        <f t="shared" si="49"/>
        <v>-97.943417345030596</v>
      </c>
      <c r="Y86" s="702">
        <f t="shared" si="50"/>
        <v>82.056582654969404</v>
      </c>
      <c r="AA86" s="174">
        <f t="shared" si="51"/>
        <v>1000000000</v>
      </c>
      <c r="AB86" s="174">
        <f t="shared" si="52"/>
        <v>691824.69759999996</v>
      </c>
      <c r="AD86" s="701">
        <f t="shared" si="53"/>
        <v>33.097394510230636</v>
      </c>
      <c r="AE86" s="702">
        <f t="shared" si="54"/>
        <v>-58.108326797757037</v>
      </c>
      <c r="AG86" s="701">
        <f t="shared" si="55"/>
        <v>24.850264997852022</v>
      </c>
      <c r="AH86" s="702">
        <f t="shared" si="56"/>
        <v>-38.637377509738592</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5">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1.0000075268204023</v>
      </c>
      <c r="N87" s="694">
        <f t="shared" si="41"/>
        <v>-3.8798899963318981E-3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31.65769132621655</v>
      </c>
      <c r="X87" s="699">
        <f t="shared" si="49"/>
        <v>-98.227144422046507</v>
      </c>
      <c r="Y87" s="702">
        <f t="shared" si="50"/>
        <v>81.772855577953493</v>
      </c>
      <c r="AA87" s="174">
        <f t="shared" si="51"/>
        <v>1000000000</v>
      </c>
      <c r="AB87" s="174">
        <f t="shared" si="52"/>
        <v>831762.24009999994</v>
      </c>
      <c r="AD87" s="701">
        <f t="shared" si="53"/>
        <v>32.538496569888487</v>
      </c>
      <c r="AE87" s="702">
        <f t="shared" si="54"/>
        <v>-55.713995610706419</v>
      </c>
      <c r="AG87" s="701">
        <f t="shared" si="55"/>
        <v>24.514840597936768</v>
      </c>
      <c r="AH87" s="702">
        <f t="shared" si="56"/>
        <v>-41.199882572613696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5">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1.0000090492382439</v>
      </c>
      <c r="N88" s="694">
        <f t="shared" si="41"/>
        <v>-4.254214381949754E-3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30.759054210082425</v>
      </c>
      <c r="X88" s="699">
        <f t="shared" si="49"/>
        <v>-98.467000815368635</v>
      </c>
      <c r="Y88" s="702">
        <f t="shared" si="50"/>
        <v>81.532999184631365</v>
      </c>
      <c r="AA88" s="174">
        <f t="shared" si="51"/>
        <v>1000000000</v>
      </c>
      <c r="AB88" s="174">
        <f t="shared" si="52"/>
        <v>1000000</v>
      </c>
      <c r="AD88" s="701">
        <f t="shared" si="53"/>
        <v>32.011706861898617</v>
      </c>
      <c r="AE88" s="702">
        <f t="shared" si="54"/>
        <v>-53.240690226578565</v>
      </c>
      <c r="AG88" s="701">
        <f t="shared" si="55"/>
        <v>24.143145445565647</v>
      </c>
      <c r="AH88" s="702">
        <f t="shared" si="56"/>
        <v>-43.786347712292496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5">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1.0000108800000345</v>
      </c>
      <c r="N89" s="694">
        <f t="shared" si="41"/>
        <v>-4.6647403764937369E-3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29.857463477665952</v>
      </c>
      <c r="X89" s="699">
        <f t="shared" si="49"/>
        <v>-98.658880612700756</v>
      </c>
      <c r="Y89" s="702">
        <f t="shared" si="50"/>
        <v>81.341119387299244</v>
      </c>
      <c r="AA89" s="174">
        <f t="shared" si="51"/>
        <v>1000000000</v>
      </c>
      <c r="AB89" s="174">
        <f t="shared" si="52"/>
        <v>1202312.25</v>
      </c>
      <c r="AD89" s="701">
        <f t="shared" si="53"/>
        <v>31.518831995209332</v>
      </c>
      <c r="AE89" s="702">
        <f t="shared" si="54"/>
        <v>-50.704960150181321</v>
      </c>
      <c r="AG89" s="701">
        <f t="shared" si="55"/>
        <v>23.73461266989402</v>
      </c>
      <c r="AH89" s="702">
        <f t="shared" si="56"/>
        <v>-46.37500940313042</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5">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1.0000130808763683</v>
      </c>
      <c r="N90" s="694">
        <f t="shared" si="41"/>
        <v>-5.1148282040870069E-3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28.954823557226369</v>
      </c>
      <c r="X90" s="699">
        <f t="shared" si="49"/>
        <v>-98.800844910971165</v>
      </c>
      <c r="Y90" s="702">
        <f t="shared" si="50"/>
        <v>81.199155089028835</v>
      </c>
      <c r="AA90" s="174">
        <f t="shared" si="51"/>
        <v>1000000000</v>
      </c>
      <c r="AB90" s="174">
        <f t="shared" si="52"/>
        <v>1445525.2899999998</v>
      </c>
      <c r="AD90" s="701">
        <f t="shared" si="53"/>
        <v>31.061510894630921</v>
      </c>
      <c r="AE90" s="702">
        <f t="shared" si="54"/>
        <v>-48.127212022401167</v>
      </c>
      <c r="AG90" s="701">
        <f t="shared" si="55"/>
        <v>23.289513950090655</v>
      </c>
      <c r="AH90" s="702">
        <f t="shared" si="56"/>
        <v>-48.942385405755175</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5">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1.0000157267533796</v>
      </c>
      <c r="N91" s="694">
        <f t="shared" si="41"/>
        <v>-5.60830585353078E-3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28.052789873006503</v>
      </c>
      <c r="X91" s="699">
        <f t="shared" si="49"/>
        <v>-98.89360778356864</v>
      </c>
      <c r="Y91" s="702">
        <f t="shared" si="50"/>
        <v>81.10639221643136</v>
      </c>
      <c r="AA91" s="174">
        <f t="shared" si="51"/>
        <v>1000000000</v>
      </c>
      <c r="AB91" s="174">
        <f t="shared" si="52"/>
        <v>1737914.89</v>
      </c>
      <c r="AD91" s="701">
        <f t="shared" si="53"/>
        <v>30.640658979876125</v>
      </c>
      <c r="AE91" s="702">
        <f t="shared" si="54"/>
        <v>-45.52877778036747</v>
      </c>
      <c r="AG91" s="701">
        <f t="shared" si="55"/>
        <v>22.808596777110324</v>
      </c>
      <c r="AH91" s="702">
        <f t="shared" si="56"/>
        <v>-51.466563052685977</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5">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1.0000189054048845</v>
      </c>
      <c r="N92" s="694">
        <f t="shared" si="41"/>
        <v>-6.1490010642321286E-3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27.153572851534658</v>
      </c>
      <c r="X92" s="699">
        <f t="shared" si="49"/>
        <v>-98.940474353940317</v>
      </c>
      <c r="Y92" s="702">
        <f t="shared" si="50"/>
        <v>81.059525646059683</v>
      </c>
      <c r="AA92" s="174">
        <f t="shared" si="51"/>
        <v>1000000000</v>
      </c>
      <c r="AB92" s="174">
        <f t="shared" si="52"/>
        <v>2089181.1600000001</v>
      </c>
      <c r="AD92" s="701">
        <f t="shared" si="53"/>
        <v>30.25684358779953</v>
      </c>
      <c r="AE92" s="702">
        <f t="shared" si="54"/>
        <v>-42.933685381100965</v>
      </c>
      <c r="AG92" s="701">
        <f t="shared" si="55"/>
        <v>22.293513014535286</v>
      </c>
      <c r="AH92" s="702">
        <f t="shared" si="56"/>
        <v>-53.925525067145799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5">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1.0000227306985354</v>
      </c>
      <c r="N93" s="694">
        <f t="shared" si="41"/>
        <v>-6.7424428767453217E-3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26.257163506570365</v>
      </c>
      <c r="X93" s="699">
        <f t="shared" si="49"/>
        <v>-98.94723674440452</v>
      </c>
      <c r="Y93" s="702">
        <f t="shared" si="50"/>
        <v>81.05276325559548</v>
      </c>
      <c r="AA93" s="174">
        <f t="shared" si="51"/>
        <v>1000000000</v>
      </c>
      <c r="AB93" s="174">
        <f t="shared" si="52"/>
        <v>2511908.0100000002</v>
      </c>
      <c r="AD93" s="701">
        <f t="shared" si="53"/>
        <v>29.909162695793711</v>
      </c>
      <c r="AE93" s="702">
        <f t="shared" si="54"/>
        <v>-40.360053339157048</v>
      </c>
      <c r="AG93" s="701">
        <f t="shared" si="55"/>
        <v>21.745167080098064</v>
      </c>
      <c r="AH93" s="702">
        <f t="shared" si="56"/>
        <v>-56.305075184520675</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5">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1.0000273279867777</v>
      </c>
      <c r="N94" s="694">
        <f t="shared" si="41"/>
        <v>-7.3928836651640309E-3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25.366099443224979</v>
      </c>
      <c r="X94" s="699">
        <f t="shared" si="49"/>
        <v>-98.921605662719642</v>
      </c>
      <c r="Y94" s="702">
        <f t="shared" si="50"/>
        <v>81.078394337280358</v>
      </c>
      <c r="AA94" s="174">
        <f t="shared" si="51"/>
        <v>1000000000</v>
      </c>
      <c r="AB94" s="174">
        <f t="shared" si="52"/>
        <v>3019948.84</v>
      </c>
      <c r="AD94" s="701">
        <f t="shared" si="53"/>
        <v>29.597264906476575</v>
      </c>
      <c r="AE94" s="702">
        <f t="shared" si="54"/>
        <v>-37.833173727142679</v>
      </c>
      <c r="AG94" s="701">
        <f t="shared" si="55"/>
        <v>21.16646050328746</v>
      </c>
      <c r="AH94" s="702">
        <f t="shared" si="56"/>
        <v>-58.586194737622051</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5">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1.0000328567617618</v>
      </c>
      <c r="N95" s="694">
        <f t="shared" si="41"/>
        <v>-8.1062768455100569E-3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24.48077038010522</v>
      </c>
      <c r="X95" s="699">
        <f t="shared" si="49"/>
        <v>-98.872814516742892</v>
      </c>
      <c r="Y95" s="702">
        <f t="shared" si="50"/>
        <v>81.127185483257108</v>
      </c>
      <c r="AA95" s="174">
        <f t="shared" si="51"/>
        <v>1000000000</v>
      </c>
      <c r="AB95" s="174">
        <f t="shared" si="52"/>
        <v>3630930.25</v>
      </c>
      <c r="AD95" s="701">
        <f t="shared" si="53"/>
        <v>29.319517398115309</v>
      </c>
      <c r="AE95" s="702">
        <f t="shared" si="54"/>
        <v>-35.371347547186325</v>
      </c>
      <c r="AG95" s="701">
        <f t="shared" si="55"/>
        <v>20.559431761163655</v>
      </c>
      <c r="AH95" s="702">
        <f t="shared" si="56"/>
        <v>-60.757803775108449</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5">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1.0000395009025047</v>
      </c>
      <c r="N96" s="694">
        <f t="shared" si="41"/>
        <v>-8.8881496702884009E-3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23.602486616124423</v>
      </c>
      <c r="X96" s="699">
        <f t="shared" si="49"/>
        <v>-98.811032055750616</v>
      </c>
      <c r="Y96" s="702">
        <f t="shared" si="50"/>
        <v>81.188967944249384</v>
      </c>
      <c r="AA96" s="174">
        <f t="shared" si="51"/>
        <v>1000000000</v>
      </c>
      <c r="AB96" s="174">
        <f t="shared" si="52"/>
        <v>4365174.4900000012</v>
      </c>
      <c r="AD96" s="701">
        <f t="shared" si="53"/>
        <v>29.074239317427949</v>
      </c>
      <c r="AE96" s="702">
        <f t="shared" si="54"/>
        <v>-32.993991301997042</v>
      </c>
      <c r="AG96" s="701">
        <f t="shared" si="55"/>
        <v>19.927090375206525</v>
      </c>
      <c r="AH96" s="702">
        <f t="shared" si="56"/>
        <v>-62.808787254813119</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5">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1.000047491505728</v>
      </c>
      <c r="N97" s="694">
        <f t="shared" si="41"/>
        <v>-9.7457299642807714E-3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22.730941228581337</v>
      </c>
      <c r="X97" s="699">
        <f t="shared" si="49"/>
        <v>-98.746666943117873</v>
      </c>
      <c r="Y97" s="702">
        <f t="shared" si="50"/>
        <v>81.253333056882127</v>
      </c>
      <c r="AA97" s="174">
        <f t="shared" si="51"/>
        <v>1000000000</v>
      </c>
      <c r="AB97" s="174">
        <f t="shared" si="52"/>
        <v>5248222.8100000005</v>
      </c>
      <c r="AD97" s="701">
        <f t="shared" si="53"/>
        <v>28.859015314633968</v>
      </c>
      <c r="AE97" s="702">
        <f t="shared" si="54"/>
        <v>-30.714149618126619</v>
      </c>
      <c r="AG97" s="701">
        <f t="shared" si="55"/>
        <v>19.271567854308682</v>
      </c>
      <c r="AH97" s="702">
        <f t="shared" si="56"/>
        <v>-64.734067548093648</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5">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1.0000570960785253</v>
      </c>
      <c r="N98" s="694">
        <f t="shared" si="41"/>
        <v>-1.0685818828952089E-2</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21.866715704384777</v>
      </c>
      <c r="X98" s="699">
        <f t="shared" si="49"/>
        <v>-98.690048932363041</v>
      </c>
      <c r="Y98" s="702">
        <f t="shared" si="50"/>
        <v>81.309951067636959</v>
      </c>
      <c r="AA98" s="174">
        <f t="shared" si="51"/>
        <v>1000000000</v>
      </c>
      <c r="AB98" s="174">
        <f t="shared" si="52"/>
        <v>6309641.6100000003</v>
      </c>
      <c r="AD98" s="701">
        <f t="shared" si="53"/>
        <v>28.671515675596254</v>
      </c>
      <c r="AE98" s="702">
        <f t="shared" si="54"/>
        <v>-28.544980173974135</v>
      </c>
      <c r="AG98" s="701">
        <f t="shared" si="55"/>
        <v>18.595802109251881</v>
      </c>
      <c r="AH98" s="702">
        <f t="shared" si="56"/>
        <v>-66.528520940598298</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5">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1.0000686420159761</v>
      </c>
      <c r="N99" s="694">
        <f t="shared" si="41"/>
        <v>-1.1716491775919392E-2</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21.009527196140386</v>
      </c>
      <c r="X99" s="699">
        <f t="shared" si="49"/>
        <v>-98.650944820318315</v>
      </c>
      <c r="Y99" s="702">
        <f t="shared" si="50"/>
        <v>81.349055179681685</v>
      </c>
      <c r="AA99" s="174">
        <f t="shared" si="51"/>
        <v>1000000000</v>
      </c>
      <c r="AB99" s="174">
        <f t="shared" si="52"/>
        <v>7585617.6399999987</v>
      </c>
      <c r="AD99" s="701">
        <f t="shared" si="53"/>
        <v>28.509120712455584</v>
      </c>
      <c r="AE99" s="702">
        <f t="shared" si="54"/>
        <v>-26.494907869196108</v>
      </c>
      <c r="AG99" s="701">
        <f t="shared" si="55"/>
        <v>17.902162659548434</v>
      </c>
      <c r="AH99" s="702">
        <f t="shared" si="56"/>
        <v>-68.19076422766301</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5">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1.0000825296403375</v>
      </c>
      <c r="N100" s="694">
        <f t="shared" si="41"/>
        <v>-1.2847098099249893E-2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20.158585306762053</v>
      </c>
      <c r="X100" s="699">
        <f t="shared" si="49"/>
        <v>-98.638395524738343</v>
      </c>
      <c r="Y100" s="702">
        <f t="shared" si="50"/>
        <v>81.361604475261657</v>
      </c>
      <c r="AA100" s="174">
        <f t="shared" si="51"/>
        <v>1000000000</v>
      </c>
      <c r="AB100" s="174">
        <f t="shared" si="52"/>
        <v>9120400</v>
      </c>
      <c r="AD100" s="701">
        <f t="shared" si="53"/>
        <v>28.369153906235059</v>
      </c>
      <c r="AE100" s="702">
        <f t="shared" si="54"/>
        <v>-24.568813980946896</v>
      </c>
      <c r="AG100" s="701">
        <f t="shared" si="55"/>
        <v>17.192575570143745</v>
      </c>
      <c r="AH100" s="702">
        <f t="shared" si="56"/>
        <v>-69.721803540281471</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5">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1.0000992177790202</v>
      </c>
      <c r="N101" s="694">
        <f t="shared" si="41"/>
        <v>-1.4086133340388421E-2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19.314234406178123</v>
      </c>
      <c r="X101" s="699">
        <f t="shared" si="49"/>
        <v>-98.660628991914805</v>
      </c>
      <c r="Y101" s="702">
        <f t="shared" si="50"/>
        <v>81.339371008085195</v>
      </c>
      <c r="AA101" s="174">
        <f t="shared" si="51"/>
        <v>1000000000</v>
      </c>
      <c r="AB101" s="174">
        <f t="shared" si="52"/>
        <v>10964707.690000001</v>
      </c>
      <c r="AD101" s="701">
        <f t="shared" si="53"/>
        <v>28.249204472810668</v>
      </c>
      <c r="AE101" s="702">
        <f t="shared" si="54"/>
        <v>-22.771828884830136</v>
      </c>
      <c r="AG101" s="701">
        <f t="shared" si="55"/>
        <v>16.469841748710003</v>
      </c>
      <c r="AH101" s="702">
        <f t="shared" si="56"/>
        <v>-71.121875127336494</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5">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1.0001192868962585</v>
      </c>
      <c r="N102" s="694">
        <f t="shared" si="41"/>
        <v>-1.5445066504379957E-2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18.475241209731273</v>
      </c>
      <c r="X102" s="699">
        <f t="shared" si="49"/>
        <v>-98.725049784992038</v>
      </c>
      <c r="Y102" s="702">
        <f t="shared" si="50"/>
        <v>81.274950215007962</v>
      </c>
      <c r="AA102" s="174">
        <f t="shared" si="51"/>
        <v>1000000000</v>
      </c>
      <c r="AB102" s="174">
        <f t="shared" si="52"/>
        <v>13182708.640000001</v>
      </c>
      <c r="AD102" s="701">
        <f t="shared" si="53"/>
        <v>28.146748587876502</v>
      </c>
      <c r="AE102" s="702">
        <f t="shared" si="54"/>
        <v>-21.103524831248755</v>
      </c>
      <c r="AG102" s="701">
        <f t="shared" si="55"/>
        <v>15.735309590835048</v>
      </c>
      <c r="AH102" s="702">
        <f t="shared" si="56"/>
        <v>-72.394948472859213</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5">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1.0001434131648232</v>
      </c>
      <c r="N103" s="694">
        <f t="shared" si="41"/>
        <v>-1.6934935929848176E-2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17.641327947699715</v>
      </c>
      <c r="X103" s="699">
        <f t="shared" si="49"/>
        <v>-98.838302496018485</v>
      </c>
      <c r="Y103" s="702">
        <f t="shared" si="50"/>
        <v>81.161697503981515</v>
      </c>
      <c r="AA103" s="174">
        <f t="shared" si="51"/>
        <v>1000000000</v>
      </c>
      <c r="AB103" s="174">
        <f t="shared" si="52"/>
        <v>15849157.209999999</v>
      </c>
      <c r="AD103" s="701">
        <f t="shared" si="53"/>
        <v>28.059575234616162</v>
      </c>
      <c r="AE103" s="702">
        <f t="shared" si="54"/>
        <v>-19.563786053553503</v>
      </c>
      <c r="AG103" s="701">
        <f t="shared" si="55"/>
        <v>14.990979685002156</v>
      </c>
      <c r="AH103" s="702">
        <f t="shared" si="56"/>
        <v>-73.544072655078537</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5">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1.0001724188887278</v>
      </c>
      <c r="N104" s="694">
        <f t="shared" si="41"/>
        <v>-1.8568474294415192E-2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16.811810292771664</v>
      </c>
      <c r="X104" s="699">
        <f t="shared" si="49"/>
        <v>-99.006434918121982</v>
      </c>
      <c r="Y104" s="702">
        <f t="shared" si="50"/>
        <v>80.993565081878018</v>
      </c>
      <c r="AA104" s="174">
        <f t="shared" si="51"/>
        <v>1000000000</v>
      </c>
      <c r="AB104" s="174">
        <f t="shared" si="52"/>
        <v>19054971.039999999</v>
      </c>
      <c r="AD104" s="701">
        <f t="shared" si="53"/>
        <v>27.985610985880601</v>
      </c>
      <c r="AE104" s="702">
        <f t="shared" si="54"/>
        <v>-18.150227499566387</v>
      </c>
      <c r="AG104" s="701">
        <f t="shared" si="55"/>
        <v>14.238322959254443</v>
      </c>
      <c r="AH104" s="702">
        <f t="shared" si="56"/>
        <v>-74.573403824786197</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5">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1.0002072854461288</v>
      </c>
      <c r="N105" s="694">
        <f t="shared" si="41"/>
        <v>-2.0359255704193339E-2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15.986196750121417</v>
      </c>
      <c r="X105" s="699">
        <f t="shared" si="49"/>
        <v>-99.23499972154444</v>
      </c>
      <c r="Y105" s="702">
        <f t="shared" si="50"/>
        <v>80.76500027845556</v>
      </c>
      <c r="AA105" s="174">
        <f t="shared" si="51"/>
        <v>1000000000</v>
      </c>
      <c r="AB105" s="174">
        <f t="shared" si="52"/>
        <v>22908667.690000001</v>
      </c>
      <c r="AD105" s="701">
        <f t="shared" si="53"/>
        <v>27.923002819855004</v>
      </c>
      <c r="AE105" s="702">
        <f t="shared" si="54"/>
        <v>-16.859708903158623</v>
      </c>
      <c r="AG105" s="701">
        <f t="shared" si="55"/>
        <v>13.478798495191104</v>
      </c>
      <c r="AH105" s="702">
        <f t="shared" si="56"/>
        <v>-75.487083761004811</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5">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1.0002492092045594</v>
      </c>
      <c r="N106" s="694">
        <f t="shared" si="41"/>
        <v>-2.2322968494659159E-2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15.1636608171844</v>
      </c>
      <c r="X106" s="699">
        <f t="shared" si="49"/>
        <v>-99.529363712575076</v>
      </c>
      <c r="Y106" s="702">
        <f t="shared" si="50"/>
        <v>80.470636287424924</v>
      </c>
      <c r="AA106" s="174">
        <f t="shared" si="51"/>
        <v>1000000000</v>
      </c>
      <c r="AB106" s="174">
        <f t="shared" si="52"/>
        <v>27542553.610000003</v>
      </c>
      <c r="AD106" s="701">
        <f t="shared" si="53"/>
        <v>27.870075210040198</v>
      </c>
      <c r="AE106" s="702">
        <f t="shared" si="54"/>
        <v>-15.687807038319542</v>
      </c>
      <c r="AG106" s="701">
        <f t="shared" si="55"/>
        <v>12.71337410412433</v>
      </c>
      <c r="AH106" s="702">
        <f t="shared" si="56"/>
        <v>-76.28964984401938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5">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1.000260948269615</v>
      </c>
      <c r="N107" s="694">
        <f t="shared" si="41"/>
        <v>-2.2842571538613621E-2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14.958546728502649</v>
      </c>
      <c r="X107" s="699">
        <f t="shared" si="49"/>
        <v>-99.613801836865747</v>
      </c>
      <c r="Y107" s="702">
        <f t="shared" si="50"/>
        <v>80.386198163134253</v>
      </c>
      <c r="AA107" s="174">
        <f t="shared" si="51"/>
        <v>1000000000</v>
      </c>
      <c r="AB107" s="174">
        <f t="shared" si="52"/>
        <v>28840122.090000004</v>
      </c>
      <c r="AD107" s="701">
        <f t="shared" si="53"/>
        <v>27.858186902473484</v>
      </c>
      <c r="AE107" s="702">
        <f t="shared" si="54"/>
        <v>-15.412989617142566</v>
      </c>
      <c r="AG107" s="701">
        <f t="shared" si="55"/>
        <v>12.521319564379036</v>
      </c>
      <c r="AH107" s="702">
        <f t="shared" si="56"/>
        <v>-76.473319925005498</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5">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1.0002670615887335</v>
      </c>
      <c r="N108" s="694">
        <f t="shared" si="41"/>
        <v>-2.3108533807448216E-2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14.855414721417137</v>
      </c>
      <c r="X108" s="699">
        <f t="shared" si="49"/>
        <v>-99.657982577501585</v>
      </c>
      <c r="Y108" s="702">
        <f t="shared" si="50"/>
        <v>80.342017422498415</v>
      </c>
      <c r="AA108" s="174">
        <f t="shared" si="51"/>
        <v>1000000000</v>
      </c>
      <c r="AB108" s="174">
        <f t="shared" si="52"/>
        <v>29515859.122500002</v>
      </c>
      <c r="AD108" s="701">
        <f t="shared" si="53"/>
        <v>27.852393275469272</v>
      </c>
      <c r="AE108" s="702">
        <f t="shared" si="54"/>
        <v>-15.277407232066796</v>
      </c>
      <c r="AG108" s="701">
        <f t="shared" si="55"/>
        <v>12.424591076205264</v>
      </c>
      <c r="AH108" s="702">
        <f t="shared" si="56"/>
        <v>-76.563213703119814</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5">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1.0002732456618035</v>
      </c>
      <c r="N109" s="694">
        <f t="shared" si="41"/>
        <v>-2.3374492806533847E-2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14.753501419778148</v>
      </c>
      <c r="X109" s="699">
        <f t="shared" si="49"/>
        <v>-99.702789644513331</v>
      </c>
      <c r="Y109" s="702">
        <f t="shared" si="50"/>
        <v>80.297210355486669</v>
      </c>
      <c r="AA109" s="174">
        <f t="shared" si="51"/>
        <v>1000000000</v>
      </c>
      <c r="AB109" s="174">
        <f t="shared" si="52"/>
        <v>30199421.159999996</v>
      </c>
      <c r="AD109" s="701">
        <f t="shared" si="53"/>
        <v>27.846785819115741</v>
      </c>
      <c r="AE109" s="702">
        <f t="shared" si="54"/>
        <v>-15.145126155867432</v>
      </c>
      <c r="AG109" s="701">
        <f t="shared" si="55"/>
        <v>12.328902145266138</v>
      </c>
      <c r="AH109" s="702">
        <f t="shared" si="56"/>
        <v>-76.650437204624041</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5">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1.000279646322547</v>
      </c>
      <c r="N110" s="694">
        <f t="shared" si="41"/>
        <v>-2.364661369864076E-2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14.650456778718127</v>
      </c>
      <c r="X110" s="699">
        <f t="shared" si="49"/>
        <v>-99.749265789201885</v>
      </c>
      <c r="Y110" s="702">
        <f t="shared" si="50"/>
        <v>80.250734210798115</v>
      </c>
      <c r="AA110" s="174">
        <f t="shared" si="51"/>
        <v>1000000000</v>
      </c>
      <c r="AB110" s="174">
        <f t="shared" si="52"/>
        <v>30906928.359999996</v>
      </c>
      <c r="AD110" s="701">
        <f t="shared" si="53"/>
        <v>27.841232731703954</v>
      </c>
      <c r="AE110" s="702">
        <f t="shared" si="54"/>
        <v>-15.013087850630567</v>
      </c>
      <c r="AG110" s="701">
        <f t="shared" si="55"/>
        <v>12.232049074009337</v>
      </c>
      <c r="AH110" s="702">
        <f t="shared" si="56"/>
        <v>-76.737008746303545</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5">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1.0002861210528271</v>
      </c>
      <c r="N111" s="694">
        <f t="shared" si="41"/>
        <v>-2.3918731088086877E-2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14.548627671574653</v>
      </c>
      <c r="X111" s="699">
        <f t="shared" si="49"/>
        <v>-99.796361907446638</v>
      </c>
      <c r="Y111" s="702">
        <f t="shared" si="50"/>
        <v>80.203638092553362</v>
      </c>
      <c r="AA111" s="174">
        <f t="shared" si="51"/>
        <v>1000000000</v>
      </c>
      <c r="AB111" s="174">
        <f t="shared" si="52"/>
        <v>31622627.559999995</v>
      </c>
      <c r="AD111" s="701">
        <f t="shared" si="53"/>
        <v>27.835858068307804</v>
      </c>
      <c r="AE111" s="702">
        <f t="shared" si="54"/>
        <v>-14.884291374875332</v>
      </c>
      <c r="AG111" s="701">
        <f t="shared" si="55"/>
        <v>12.136240461509571</v>
      </c>
      <c r="AH111" s="702">
        <f t="shared" si="56"/>
        <v>-76.820963471955523</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5">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1.0002928242269844</v>
      </c>
      <c r="N112" s="694">
        <f t="shared" si="41"/>
        <v>-2.4197222560103034E-2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14.445640399356328</v>
      </c>
      <c r="X112" s="699">
        <f t="shared" si="49"/>
        <v>-99.845185854051564</v>
      </c>
      <c r="Y112" s="702">
        <f t="shared" si="50"/>
        <v>80.154814145948436</v>
      </c>
      <c r="AA112" s="174">
        <f t="shared" si="51"/>
        <v>1000000000</v>
      </c>
      <c r="AB112" s="174">
        <f t="shared" si="52"/>
        <v>32363583.209999997</v>
      </c>
      <c r="AD112" s="701">
        <f t="shared" si="53"/>
        <v>27.830534170431282</v>
      </c>
      <c r="AE112" s="702">
        <f t="shared" si="54"/>
        <v>-14.755726718343322</v>
      </c>
      <c r="AG112" s="701">
        <f t="shared" si="55"/>
        <v>12.039245662741445</v>
      </c>
      <c r="AH112" s="702">
        <f t="shared" si="56"/>
        <v>-76.9042646911726</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5">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1.0002996049803092</v>
      </c>
      <c r="N113" s="694">
        <f t="shared" si="41"/>
        <v>-2.4475710278085008E-2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14.343866174248349</v>
      </c>
      <c r="X113" s="699">
        <f t="shared" si="49"/>
        <v>-99.89462337862625</v>
      </c>
      <c r="Y113" s="702">
        <f t="shared" si="50"/>
        <v>80.10537662137375</v>
      </c>
      <c r="AA113" s="174">
        <f t="shared" si="51"/>
        <v>1000000000</v>
      </c>
      <c r="AB113" s="174">
        <f t="shared" si="52"/>
        <v>33113119.359999996</v>
      </c>
      <c r="AD113" s="701">
        <f t="shared" si="53"/>
        <v>27.825381320452408</v>
      </c>
      <c r="AE113" s="702">
        <f t="shared" si="54"/>
        <v>-14.630346382389121</v>
      </c>
      <c r="AG113" s="701">
        <f t="shared" si="55"/>
        <v>11.943300557336595</v>
      </c>
      <c r="AH113" s="702">
        <f t="shared" si="56"/>
        <v>-76.985000568023949</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5">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1.0003066212808602</v>
      </c>
      <c r="N114" s="694">
        <f t="shared" si="41"/>
        <v>-2.4760571648468142E-2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14.240986251548042</v>
      </c>
      <c r="X114" s="699">
        <f t="shared" si="49"/>
        <v>-99.945809947642857</v>
      </c>
      <c r="Y114" s="702">
        <f t="shared" si="50"/>
        <v>80.054190052357143</v>
      </c>
      <c r="AA114" s="174">
        <f t="shared" si="51"/>
        <v>1000000000</v>
      </c>
      <c r="AB114" s="174">
        <f t="shared" si="52"/>
        <v>33888697.959999993</v>
      </c>
      <c r="AD114" s="701">
        <f t="shared" si="53"/>
        <v>27.820279742473417</v>
      </c>
      <c r="AE114" s="702">
        <f t="shared" si="54"/>
        <v>-14.505284711367718</v>
      </c>
      <c r="AG114" s="701">
        <f t="shared" si="55"/>
        <v>11.846221928176746</v>
      </c>
      <c r="AH114" s="702">
        <f t="shared" si="56"/>
        <v>-77.065017926236294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5">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1.0003137187511502</v>
      </c>
      <c r="N115" s="694">
        <f t="shared" si="41"/>
        <v>-2.504542899964397E-2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14.139315701429336</v>
      </c>
      <c r="X115" s="699">
        <f t="shared" si="49"/>
        <v>-99.997602741563583</v>
      </c>
      <c r="Y115" s="702">
        <f t="shared" si="50"/>
        <v>80.002397258436417</v>
      </c>
      <c r="AA115" s="174">
        <f t="shared" si="51"/>
        <v>1000000000</v>
      </c>
      <c r="AB115" s="174">
        <f t="shared" si="52"/>
        <v>34673254.559999995</v>
      </c>
      <c r="AD115" s="701">
        <f t="shared" si="53"/>
        <v>27.815341935947711</v>
      </c>
      <c r="AE115" s="702">
        <f t="shared" si="54"/>
        <v>-14.383346965659378</v>
      </c>
      <c r="AG115" s="701">
        <f t="shared" si="55"/>
        <v>11.750196947209307</v>
      </c>
      <c r="AH115" s="702">
        <f t="shared" si="56"/>
        <v>-77.142523364224786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5">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1.0003210698119198</v>
      </c>
      <c r="N116" s="694">
        <f t="shared" si="41"/>
        <v>-2.5337084701915719E-2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14.036440295548116</v>
      </c>
      <c r="X116" s="699">
        <f t="shared" si="49"/>
        <v>-100.05124256267375</v>
      </c>
      <c r="Y116" s="702">
        <f t="shared" si="50"/>
        <v>79.94875743732625</v>
      </c>
      <c r="AA116" s="174">
        <f t="shared" si="51"/>
        <v>1000000000</v>
      </c>
      <c r="AB116" s="174">
        <f t="shared" si="52"/>
        <v>35485849</v>
      </c>
      <c r="AD116" s="701">
        <f t="shared" si="53"/>
        <v>27.810448503808711</v>
      </c>
      <c r="AE116" s="702">
        <f t="shared" si="54"/>
        <v>-14.26163094552671</v>
      </c>
      <c r="AG116" s="701">
        <f t="shared" si="55"/>
        <v>11.652947973604576</v>
      </c>
      <c r="AH116" s="702">
        <f t="shared" si="56"/>
        <v>-77.21936224831849</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5">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1.0003285059617946</v>
      </c>
      <c r="N117" s="694">
        <f t="shared" si="41"/>
        <v>-2.5628736092829348E-2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13.93477297242811</v>
      </c>
      <c r="X117" s="699">
        <f t="shared" si="49"/>
        <v>-100.10548211803757</v>
      </c>
      <c r="Y117" s="702">
        <f t="shared" si="50"/>
        <v>79.894517881962429</v>
      </c>
      <c r="AA117" s="174">
        <f t="shared" si="51"/>
        <v>1000000000</v>
      </c>
      <c r="AB117" s="174">
        <f t="shared" si="52"/>
        <v>36307855.360000007</v>
      </c>
      <c r="AD117" s="701">
        <f t="shared" si="53"/>
        <v>27.805712142185783</v>
      </c>
      <c r="AE117" s="702">
        <f t="shared" si="54"/>
        <v>-14.142984841287962</v>
      </c>
      <c r="AG117" s="701">
        <f t="shared" si="55"/>
        <v>11.556758444366706</v>
      </c>
      <c r="AH117" s="702">
        <f t="shared" si="56"/>
        <v>-77.293737149412323</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5">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1.0003362036367145</v>
      </c>
      <c r="N118" s="694">
        <f t="shared" si="41"/>
        <v>-2.5927185333516341E-2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13.831955214971458</v>
      </c>
      <c r="X118" s="699">
        <f t="shared" si="49"/>
        <v>-100.16158970523567</v>
      </c>
      <c r="Y118" s="702">
        <f t="shared" si="50"/>
        <v>79.83841029476433</v>
      </c>
      <c r="AA118" s="174">
        <f t="shared" si="51"/>
        <v>1000000000</v>
      </c>
      <c r="AB118" s="174">
        <f t="shared" si="52"/>
        <v>37158777.640000001</v>
      </c>
      <c r="AD118" s="701">
        <f t="shared" si="53"/>
        <v>27.801020816679216</v>
      </c>
      <c r="AE118" s="702">
        <f t="shared" si="54"/>
        <v>-14.024648114607807</v>
      </c>
      <c r="AG118" s="701">
        <f t="shared" si="55"/>
        <v>11.459399464896478</v>
      </c>
      <c r="AH118" s="702">
        <f t="shared" si="56"/>
        <v>-77.367379568306163</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5">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1.0003439904121543</v>
      </c>
      <c r="N119" s="694">
        <f t="shared" si="41"/>
        <v>-2.6225629954469892E-2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13.730342988957894</v>
      </c>
      <c r="X119" s="699">
        <f t="shared" si="49"/>
        <v>-100.21828959902919</v>
      </c>
      <c r="Y119" s="702">
        <f t="shared" si="50"/>
        <v>79.781710400970809</v>
      </c>
      <c r="AA119" s="174">
        <f t="shared" si="51"/>
        <v>1000000000</v>
      </c>
      <c r="AB119" s="174">
        <f t="shared" si="52"/>
        <v>38019556</v>
      </c>
      <c r="AD119" s="701">
        <f t="shared" si="53"/>
        <v>27.796479935543076</v>
      </c>
      <c r="AE119" s="702">
        <f t="shared" si="54"/>
        <v>-13.909324309949014</v>
      </c>
      <c r="AG119" s="701">
        <f t="shared" si="55"/>
        <v>11.363104398301676</v>
      </c>
      <c r="AH119" s="702">
        <f t="shared" si="56"/>
        <v>-77.438608011874933</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5">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1.0003520468316225</v>
      </c>
      <c r="N120" s="694">
        <f t="shared" si="41"/>
        <v>-2.6530871897852869E-2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13.627632136806223</v>
      </c>
      <c r="X120" s="699">
        <f t="shared" si="49"/>
        <v>-100.27687666530871</v>
      </c>
      <c r="Y120" s="702">
        <f t="shared" si="50"/>
        <v>79.723123334691294</v>
      </c>
      <c r="AA120" s="174">
        <f t="shared" si="51"/>
        <v>1000000000</v>
      </c>
      <c r="AB120" s="174">
        <f t="shared" si="52"/>
        <v>38910148.840000004</v>
      </c>
      <c r="AD120" s="701">
        <f t="shared" si="53"/>
        <v>27.791984372576756</v>
      </c>
      <c r="AE120" s="702">
        <f t="shared" si="54"/>
        <v>-13.794388929212873</v>
      </c>
      <c r="AG120" s="701">
        <f t="shared" si="55"/>
        <v>11.265692207909767</v>
      </c>
      <c r="AH120" s="702">
        <f t="shared" si="56"/>
        <v>-77.509044823548365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5">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1.0003601964550295</v>
      </c>
      <c r="N121" s="694">
        <f t="shared" si="41"/>
        <v>-2.6836108896252837E-2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13.52612309970759</v>
      </c>
      <c r="X121" s="699">
        <f t="shared" si="49"/>
        <v>-100.33604777055746</v>
      </c>
      <c r="Y121" s="702">
        <f t="shared" si="50"/>
        <v>79.663952229442543</v>
      </c>
      <c r="AA121" s="174">
        <f t="shared" si="51"/>
        <v>1000000000</v>
      </c>
      <c r="AB121" s="174">
        <f t="shared" si="52"/>
        <v>39811052.160000004</v>
      </c>
      <c r="AD121" s="701">
        <f t="shared" si="53"/>
        <v>27.787632730715714</v>
      </c>
      <c r="AE121" s="702">
        <f t="shared" si="54"/>
        <v>-13.68240696383663</v>
      </c>
      <c r="AG121" s="701">
        <f t="shared" si="55"/>
        <v>11.169347139526931</v>
      </c>
      <c r="AH121" s="702">
        <f t="shared" si="56"/>
        <v>-77.577119364288649</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5">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1.0003686297998526</v>
      </c>
      <c r="N122" s="694">
        <f t="shared" si="41"/>
        <v>-2.7148355217996314E-2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13.423495285084853</v>
      </c>
      <c r="X122" s="699">
        <f t="shared" si="49"/>
        <v>-100.39716522910751</v>
      </c>
      <c r="Y122" s="702">
        <f t="shared" si="50"/>
        <v>79.602834770892485</v>
      </c>
      <c r="AA122" s="174">
        <f t="shared" si="51"/>
        <v>1000000000</v>
      </c>
      <c r="AB122" s="174">
        <f t="shared" si="52"/>
        <v>40743327.302500002</v>
      </c>
      <c r="AD122" s="701">
        <f t="shared" si="53"/>
        <v>27.783323474810157</v>
      </c>
      <c r="AE122" s="702">
        <f t="shared" si="54"/>
        <v>-13.570809495424088</v>
      </c>
      <c r="AG122" s="701">
        <f t="shared" si="55"/>
        <v>11.071869121450536</v>
      </c>
      <c r="AH122" s="702">
        <f t="shared" si="56"/>
        <v>-77.644394401205403</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5">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1.0003771606767318</v>
      </c>
      <c r="N123" s="694">
        <f t="shared" si="41"/>
        <v>-2.7460596244720862E-2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13.32206610860524</v>
      </c>
      <c r="X123" s="699">
        <f t="shared" si="49"/>
        <v>-100.45885848485058</v>
      </c>
      <c r="Y123" s="702">
        <f t="shared" si="50"/>
        <v>79.54114151514942</v>
      </c>
      <c r="AA123" s="174">
        <f t="shared" si="51"/>
        <v>1000000000</v>
      </c>
      <c r="AB123" s="174">
        <f t="shared" si="52"/>
        <v>41686392.25</v>
      </c>
      <c r="AD123" s="701">
        <f t="shared" si="53"/>
        <v>27.779151926594565</v>
      </c>
      <c r="AE123" s="702">
        <f t="shared" si="54"/>
        <v>-13.462107740226545</v>
      </c>
      <c r="AG123" s="701">
        <f t="shared" si="55"/>
        <v>10.975461685811458</v>
      </c>
      <c r="AH123" s="702">
        <f t="shared" si="56"/>
        <v>-77.709357128134769</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5">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1.0003859958507875</v>
      </c>
      <c r="N124" s="694">
        <f t="shared" si="41"/>
        <v>-2.7780271093208363E-2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13.219432588713175</v>
      </c>
      <c r="X124" s="699">
        <f t="shared" si="49"/>
        <v>-100.52260048724598</v>
      </c>
      <c r="Y124" s="702">
        <f t="shared" si="50"/>
        <v>79.477399512754019</v>
      </c>
      <c r="AA124" s="174">
        <f t="shared" si="51"/>
        <v>1000000000</v>
      </c>
      <c r="AB124" s="174">
        <f t="shared" si="52"/>
        <v>42663104.890000001</v>
      </c>
      <c r="AD124" s="701">
        <f t="shared" si="53"/>
        <v>27.775017385272896</v>
      </c>
      <c r="AE124" s="702">
        <f t="shared" si="54"/>
        <v>-13.353719556681536</v>
      </c>
      <c r="AG124" s="701">
        <f t="shared" si="55"/>
        <v>10.877843153270703</v>
      </c>
      <c r="AH124" s="702">
        <f t="shared" si="56"/>
        <v>-77.773550998586117</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5">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1.0003949332544857</v>
      </c>
      <c r="N125" s="694">
        <f t="shared" si="41"/>
        <v>-2.8099940262492476E-2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13.117996570039889</v>
      </c>
      <c r="X125" s="699">
        <f t="shared" si="49"/>
        <v>-100.58691079579619</v>
      </c>
      <c r="Y125" s="702">
        <f t="shared" si="50"/>
        <v>79.413089204203814</v>
      </c>
      <c r="AA125" s="174">
        <f t="shared" si="51"/>
        <v>1000000000</v>
      </c>
      <c r="AB125" s="174">
        <f t="shared" si="52"/>
        <v>43651127.609999992</v>
      </c>
      <c r="AD125" s="701">
        <f t="shared" si="53"/>
        <v>27.771014795507433</v>
      </c>
      <c r="AE125" s="702">
        <f t="shared" si="54"/>
        <v>-13.248174701181737</v>
      </c>
      <c r="AG125" s="701">
        <f t="shared" si="55"/>
        <v>10.781300282212122</v>
      </c>
      <c r="AH125" s="702">
        <f t="shared" si="56"/>
        <v>-77.835478002358386</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5">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1.0004041844659644</v>
      </c>
      <c r="N126" s="694">
        <f t="shared" si="41"/>
        <v>-2.8427042594453406E-2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13.015410170038944</v>
      </c>
      <c r="X126" s="699">
        <f t="shared" si="49"/>
        <v>-100.65328839725021</v>
      </c>
      <c r="Y126" s="702">
        <f t="shared" si="50"/>
        <v>79.346711602749792</v>
      </c>
      <c r="AA126" s="174">
        <f t="shared" si="51"/>
        <v>1000000000</v>
      </c>
      <c r="AB126" s="174">
        <f t="shared" si="52"/>
        <v>44673850.822500005</v>
      </c>
      <c r="AD126" s="701">
        <f t="shared" si="53"/>
        <v>27.767049633874379</v>
      </c>
      <c r="AE126" s="702">
        <f t="shared" si="54"/>
        <v>-13.143022035868446</v>
      </c>
      <c r="AG126" s="701">
        <f t="shared" si="55"/>
        <v>10.683600790649914</v>
      </c>
      <c r="AH126" s="702">
        <f t="shared" si="56"/>
        <v>-77.896577021054085</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5">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1.0004135427146383</v>
      </c>
      <c r="N127" s="694">
        <f t="shared" si="41"/>
        <v>-2.8754138841732581E-2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12.914018885706355</v>
      </c>
      <c r="X127" s="699">
        <f t="shared" si="49"/>
        <v>-100.72022600950335</v>
      </c>
      <c r="Y127" s="702">
        <f t="shared" si="50"/>
        <v>79.279773990496651</v>
      </c>
      <c r="AA127" s="174">
        <f t="shared" si="51"/>
        <v>1000000000</v>
      </c>
      <c r="AB127" s="174">
        <f t="shared" si="52"/>
        <v>45708416.640000001</v>
      </c>
      <c r="AD127" s="701">
        <f t="shared" si="53"/>
        <v>27.763210742116943</v>
      </c>
      <c r="AE127" s="702">
        <f t="shared" si="54"/>
        <v>-13.040657738062333</v>
      </c>
      <c r="AG127" s="701">
        <f t="shared" si="55"/>
        <v>10.586980726696178</v>
      </c>
      <c r="AH127" s="702">
        <f t="shared" si="56"/>
        <v>-77.955456417499576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5">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1.0004232306887502</v>
      </c>
      <c r="N128" s="694">
        <f t="shared" si="41"/>
        <v>-2.9088880090518864E-2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12.811463872421236</v>
      </c>
      <c r="X128" s="699">
        <f t="shared" si="49"/>
        <v>-100.78929175234641</v>
      </c>
      <c r="Y128" s="702">
        <f t="shared" si="50"/>
        <v>79.210708247653585</v>
      </c>
      <c r="AA128" s="174">
        <f t="shared" si="51"/>
        <v>1000000000</v>
      </c>
      <c r="AB128" s="174">
        <f t="shared" si="52"/>
        <v>46779444.202500001</v>
      </c>
      <c r="AD128" s="701">
        <f t="shared" si="53"/>
        <v>27.759407011779484</v>
      </c>
      <c r="AE128" s="702">
        <f t="shared" si="54"/>
        <v>-12.938692522580867</v>
      </c>
      <c r="AG128" s="701">
        <f t="shared" si="55"/>
        <v>10.489194533950723</v>
      </c>
      <c r="AH128" s="702">
        <f t="shared" si="56"/>
        <v>-78.013491025701398</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5">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1.0004330307598108</v>
      </c>
      <c r="N129" s="694">
        <f t="shared" si="41"/>
        <v>-2.9423614818675961E-2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12.710101931051783</v>
      </c>
      <c r="X129" s="699">
        <f t="shared" si="49"/>
        <v>-100.85890918746425</v>
      </c>
      <c r="Y129" s="702">
        <f t="shared" si="50"/>
        <v>79.141090812535751</v>
      </c>
      <c r="AA129" s="174">
        <f t="shared" si="51"/>
        <v>1000000000</v>
      </c>
      <c r="AB129" s="174">
        <f t="shared" si="52"/>
        <v>47862874.890000001</v>
      </c>
      <c r="AD129" s="701">
        <f t="shared" si="53"/>
        <v>27.755724116855411</v>
      </c>
      <c r="AE129" s="702">
        <f t="shared" si="54"/>
        <v>-12.839461986451575</v>
      </c>
      <c r="AG129" s="701">
        <f t="shared" si="55"/>
        <v>10.392491653673002</v>
      </c>
      <c r="AH129" s="702">
        <f t="shared" si="56"/>
        <v>-78.069352003702477</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5">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1.000443177129289</v>
      </c>
      <c r="N130" s="694">
        <f t="shared" si="41"/>
        <v>-2.9766206326033565E-2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12.607564922649113</v>
      </c>
      <c r="X130" s="699">
        <f t="shared" si="49"/>
        <v>-100.93071601039767</v>
      </c>
      <c r="Y130" s="702">
        <f t="shared" si="50"/>
        <v>79.069283989602326</v>
      </c>
      <c r="AA130" s="174">
        <f t="shared" si="51"/>
        <v>1000000000</v>
      </c>
      <c r="AB130" s="174">
        <f t="shared" si="52"/>
        <v>48984601.209999993</v>
      </c>
      <c r="AD130" s="701">
        <f t="shared" si="53"/>
        <v>27.752074289286995</v>
      </c>
      <c r="AE130" s="702">
        <f t="shared" si="54"/>
        <v>-12.740640285347441</v>
      </c>
      <c r="AG130" s="701">
        <f t="shared" si="55"/>
        <v>10.294615036887675</v>
      </c>
      <c r="AH130" s="702">
        <f t="shared" si="56"/>
        <v>-78.124349036264618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5">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1.0004534409173331</v>
      </c>
      <c r="N131" s="694">
        <f t="shared" si="41"/>
        <v>-3.0108790844213446E-2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12.506219227225079</v>
      </c>
      <c r="X131" s="699">
        <f t="shared" si="49"/>
        <v>-101.00306617108862</v>
      </c>
      <c r="Y131" s="702">
        <f t="shared" si="50"/>
        <v>78.996933828911381</v>
      </c>
      <c r="AA131" s="174">
        <f t="shared" si="51"/>
        <v>1000000000</v>
      </c>
      <c r="AB131" s="174">
        <f t="shared" si="52"/>
        <v>50119320.25</v>
      </c>
      <c r="AD131" s="701">
        <f t="shared" si="53"/>
        <v>27.748540092993039</v>
      </c>
      <c r="AE131" s="702">
        <f t="shared" si="54"/>
        <v>-12.644500706923518</v>
      </c>
      <c r="AG131" s="701">
        <f t="shared" si="55"/>
        <v>10.197825696938366</v>
      </c>
      <c r="AH131" s="702">
        <f t="shared" si="56"/>
        <v>-78.177217309341358</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5">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1.0004640617769669</v>
      </c>
      <c r="N132" s="694">
        <f t="shared" si="41"/>
        <v>-3.0459231339417876E-2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12.403750786825052</v>
      </c>
      <c r="X132" s="699">
        <f t="shared" si="49"/>
        <v>-101.07762195499832</v>
      </c>
      <c r="Y132" s="702">
        <f t="shared" si="50"/>
        <v>78.922378045001679</v>
      </c>
      <c r="AA132" s="174">
        <f t="shared" si="51"/>
        <v>1000000000</v>
      </c>
      <c r="AB132" s="174">
        <f t="shared" si="52"/>
        <v>51293527.802499995</v>
      </c>
      <c r="AD132" s="701">
        <f t="shared" si="53"/>
        <v>27.745039109380095</v>
      </c>
      <c r="AE132" s="702">
        <f t="shared" si="54"/>
        <v>-12.548839429235841</v>
      </c>
      <c r="AG132" s="701">
        <f t="shared" si="55"/>
        <v>10.099915854263781</v>
      </c>
      <c r="AH132" s="702">
        <f t="shared" si="56"/>
        <v>-78.229169553451385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5">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1.0004748054995147</v>
      </c>
      <c r="N133" s="694">
        <f t="shared" si="41"/>
        <v>-3.0809664351160431E-2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12.302470708162712</v>
      </c>
      <c r="X133" s="699">
        <f t="shared" si="49"/>
        <v>-101.15271203709402</v>
      </c>
      <c r="Y133" s="702">
        <f t="shared" si="50"/>
        <v>78.84728796290598</v>
      </c>
      <c r="AA133" s="174">
        <f t="shared" si="51"/>
        <v>1000000000</v>
      </c>
      <c r="AB133" s="174">
        <f t="shared" si="52"/>
        <v>52481331.359999992</v>
      </c>
      <c r="AD133" s="701">
        <f t="shared" si="53"/>
        <v>27.741648637141783</v>
      </c>
      <c r="AE133" s="702">
        <f t="shared" si="54"/>
        <v>-12.455805590903084</v>
      </c>
      <c r="AG133" s="701">
        <f t="shared" si="55"/>
        <v>10.003095987438533</v>
      </c>
      <c r="AH133" s="702">
        <f t="shared" si="56"/>
        <v>-78.279039386598072</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5">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1.0004859239416357</v>
      </c>
      <c r="N134" s="694">
        <f t="shared" si="41"/>
        <v>-3.1168165001958029E-2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12.200057347547627</v>
      </c>
      <c r="X134" s="699">
        <f t="shared" si="49"/>
        <v>-101.2300683825828</v>
      </c>
      <c r="Y134" s="702">
        <f t="shared" si="50"/>
        <v>78.7699316174172</v>
      </c>
      <c r="AA134" s="174">
        <f t="shared" si="51"/>
        <v>1000000000</v>
      </c>
      <c r="AB134" s="174">
        <f t="shared" si="52"/>
        <v>53710576.5625</v>
      </c>
      <c r="AD134" s="701">
        <f t="shared" si="53"/>
        <v>27.7382893082208</v>
      </c>
      <c r="AE134" s="702">
        <f t="shared" si="54"/>
        <v>-12.363258288934896</v>
      </c>
      <c r="AG134" s="701">
        <f t="shared" si="55"/>
        <v>9.9051488902416107</v>
      </c>
      <c r="AH134" s="702">
        <f t="shared" si="56"/>
        <v>-78.327975097729691</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5">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1.0004971709660579</v>
      </c>
      <c r="N135" s="694">
        <f t="shared" si="41"/>
        <v>-3.1526657638705324E-2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12.098829684605994</v>
      </c>
      <c r="X135" s="699">
        <f t="shared" si="49"/>
        <v>-101.30794999995568</v>
      </c>
      <c r="Y135" s="702">
        <f t="shared" si="50"/>
        <v>78.692050000044318</v>
      </c>
      <c r="AA135" s="174">
        <f t="shared" si="51"/>
        <v>1000000000</v>
      </c>
      <c r="AB135" s="174">
        <f t="shared" si="52"/>
        <v>54954051.610000007</v>
      </c>
      <c r="AD135" s="701">
        <f t="shared" si="53"/>
        <v>27.735035595587508</v>
      </c>
      <c r="AE135" s="702">
        <f t="shared" si="54"/>
        <v>-12.273285010978471</v>
      </c>
      <c r="AG135" s="701">
        <f t="shared" si="55"/>
        <v>9.8082945564029771</v>
      </c>
      <c r="AH135" s="702">
        <f t="shared" si="56"/>
        <v>-78.374873542972367</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5">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1.0005088178527177</v>
      </c>
      <c r="N136" s="694">
        <f t="shared" si="41"/>
        <v>-3.189364199999873E-2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11.996400993093392</v>
      </c>
      <c r="X136" s="699">
        <f t="shared" si="49"/>
        <v>-101.3882054599397</v>
      </c>
      <c r="Y136" s="702">
        <f t="shared" si="50"/>
        <v>78.611794540060302</v>
      </c>
      <c r="AA136" s="174">
        <f t="shared" si="51"/>
        <v>1000000000</v>
      </c>
      <c r="AB136" s="174">
        <f t="shared" si="52"/>
        <v>56241750.302499995</v>
      </c>
      <c r="AD136" s="701">
        <f t="shared" si="53"/>
        <v>27.731809259713202</v>
      </c>
      <c r="AE136" s="702">
        <f t="shared" si="54"/>
        <v>-12.183757714892817</v>
      </c>
      <c r="AG136" s="701">
        <f t="shared" si="55"/>
        <v>9.7102514960195236</v>
      </c>
      <c r="AH136" s="702">
        <f t="shared" si="56"/>
        <v>-78.420843916215446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5">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1.0005205994822777</v>
      </c>
      <c r="N137" s="694">
        <f t="shared" si="41"/>
        <v>-3.2260617767866422E-2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11.895156927590806</v>
      </c>
      <c r="X137" s="699">
        <f t="shared" si="49"/>
        <v>-101.4689777562546</v>
      </c>
      <c r="Y137" s="702">
        <f t="shared" si="50"/>
        <v>78.531022243745397</v>
      </c>
      <c r="AA137" s="174">
        <f t="shared" si="51"/>
        <v>1000000000</v>
      </c>
      <c r="AB137" s="174">
        <f t="shared" si="52"/>
        <v>57544361.640000001</v>
      </c>
      <c r="AD137" s="701">
        <f t="shared" si="53"/>
        <v>27.728683969515181</v>
      </c>
      <c r="AE137" s="702">
        <f t="shared" si="54"/>
        <v>-12.096755050576695</v>
      </c>
      <c r="AG137" s="701">
        <f t="shared" si="55"/>
        <v>9.6133052968217321</v>
      </c>
      <c r="AH137" s="702">
        <f t="shared" si="56"/>
        <v>-78.464818805317918</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5">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1.0005327934480202</v>
      </c>
      <c r="N138" s="694">
        <f t="shared" si="41"/>
        <v>-3.2636084266939445E-2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11.792765011721098</v>
      </c>
      <c r="X138" s="699">
        <f t="shared" si="49"/>
        <v>-101.55213907244669</v>
      </c>
      <c r="Y138" s="702">
        <f t="shared" si="50"/>
        <v>78.447860927553307</v>
      </c>
      <c r="AA138" s="174">
        <f t="shared" si="51"/>
        <v>1000000000</v>
      </c>
      <c r="AB138" s="174">
        <f t="shared" si="52"/>
        <v>58892578.222499996</v>
      </c>
      <c r="AD138" s="701">
        <f t="shared" si="53"/>
        <v>27.725586200496068</v>
      </c>
      <c r="AE138" s="702">
        <f t="shared" si="54"/>
        <v>-12.010264864236431</v>
      </c>
      <c r="AG138" s="701">
        <f t="shared" si="55"/>
        <v>9.5152246254063542</v>
      </c>
      <c r="AH138" s="702">
        <f t="shared" si="56"/>
        <v>-78.507815721217142</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5">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1.0005451284605156</v>
      </c>
      <c r="N139" s="694">
        <f t="shared" si="41"/>
        <v>-3.3011541561220256E-2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11.691555421008456</v>
      </c>
      <c r="X139" s="699">
        <f t="shared" si="49"/>
        <v>-101.63580815063895</v>
      </c>
      <c r="Y139" s="702">
        <f t="shared" si="50"/>
        <v>78.364191849361049</v>
      </c>
      <c r="AA139" s="174">
        <f t="shared" si="51"/>
        <v>1000000000</v>
      </c>
      <c r="AB139" s="174">
        <f t="shared" si="52"/>
        <v>60256406.25</v>
      </c>
      <c r="AD139" s="701">
        <f t="shared" si="53"/>
        <v>27.722584976609252</v>
      </c>
      <c r="AE139" s="702">
        <f t="shared" si="54"/>
        <v>-11.926247871301943</v>
      </c>
      <c r="AG139" s="701">
        <f t="shared" si="55"/>
        <v>9.4182436266337906</v>
      </c>
      <c r="AH139" s="702">
        <f t="shared" si="56"/>
        <v>-78.548860386895626</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5">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1.000557895672771</v>
      </c>
      <c r="N140" s="694">
        <f t="shared" si="41"/>
        <v>-3.3395701016934023E-2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11.589192340726001</v>
      </c>
      <c r="X140" s="699">
        <f t="shared" si="49"/>
        <v>-101.72192764782213</v>
      </c>
      <c r="Y140" s="702">
        <f t="shared" si="50"/>
        <v>78.278072352177873</v>
      </c>
      <c r="AA140" s="174">
        <f t="shared" si="51"/>
        <v>1000000000</v>
      </c>
      <c r="AB140" s="174">
        <f t="shared" si="52"/>
        <v>61668038.409999996</v>
      </c>
      <c r="AD140" s="701">
        <f t="shared" si="53"/>
        <v>27.719609567454206</v>
      </c>
      <c r="AE140" s="702">
        <f t="shared" si="54"/>
        <v>-11.842757521691503</v>
      </c>
      <c r="AG140" s="701">
        <f t="shared" si="55"/>
        <v>9.3201261766071894</v>
      </c>
      <c r="AH140" s="702">
        <f t="shared" si="56"/>
        <v>-78.588904144140869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5">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1.0005708105420661</v>
      </c>
      <c r="N141" s="694">
        <f t="shared" ref="N141:N204" si="74">-ATAN(G141/z_RHP)</f>
        <v>-3.3779850612261249E-2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11.488009436130415</v>
      </c>
      <c r="X141" s="699">
        <f t="shared" ref="X141:X204" si="82">((L141+R141+N141+V141)-(J141+P141+T141))*radconv</f>
        <v>-101.80854581835254</v>
      </c>
      <c r="Y141" s="702">
        <f t="shared" ref="Y141:Y204" si="83">IF(X141&gt;0,X141,X141+180)</f>
        <v>78.191454181647458</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9.2231112046376609</v>
      </c>
      <c r="AH141" s="702">
        <f t="shared" ref="AH141:AH204" si="89">(L141+N141-(J141+V141))*radconv</f>
        <v>-78.627037966873701</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5">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1.0005841782609628</v>
      </c>
      <c r="N142" s="694">
        <f t="shared" si="74"/>
        <v>-3.4172913712181965E-2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11.385668836348914</v>
      </c>
      <c r="X142" s="699">
        <f t="shared" si="82"/>
        <v>-101.8976759689773</v>
      </c>
      <c r="Y142" s="702">
        <f t="shared" si="83"/>
        <v>78.102324031022704</v>
      </c>
      <c r="AA142" s="174">
        <f t="shared" si="84"/>
        <v>1000000000</v>
      </c>
      <c r="AB142" s="174">
        <f t="shared" si="85"/>
        <v>64574081.640000001</v>
      </c>
      <c r="AD142" s="701">
        <f t="shared" si="86"/>
        <v>27.713867413960568</v>
      </c>
      <c r="AE142" s="702">
        <f t="shared" si="87"/>
        <v>-11.681164586867085</v>
      </c>
      <c r="AG142" s="701">
        <f t="shared" si="88"/>
        <v>9.1249592166949753</v>
      </c>
      <c r="AH142" s="702">
        <f t="shared" si="89"/>
        <v>-78.664146717667194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5">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1.0005977005645703</v>
      </c>
      <c r="N143" s="694">
        <f t="shared" si="74"/>
        <v>-3.4565966248940157E-2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11.28450637519142</v>
      </c>
      <c r="X143" s="699">
        <f t="shared" si="82"/>
        <v>-101.98729568306823</v>
      </c>
      <c r="Y143" s="702">
        <f t="shared" si="83"/>
        <v>78.012704316931774</v>
      </c>
      <c r="AA143" s="174">
        <f t="shared" si="84"/>
        <v>1000000000</v>
      </c>
      <c r="AB143" s="174">
        <f t="shared" si="85"/>
        <v>66069260.890000001</v>
      </c>
      <c r="AD143" s="701">
        <f t="shared" si="86"/>
        <v>27.711096530871401</v>
      </c>
      <c r="AE143" s="702">
        <f t="shared" si="87"/>
        <v>-11.603012416854828</v>
      </c>
      <c r="AG143" s="701">
        <f t="shared" si="88"/>
        <v>9.0279124788795162</v>
      </c>
      <c r="AH143" s="702">
        <f t="shared" si="89"/>
        <v>-78.699387007244397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5">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1.0006116971798746</v>
      </c>
      <c r="N144" s="694">
        <f t="shared" si="74"/>
        <v>-3.4968143540881312E-2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11.182183349326607</v>
      </c>
      <c r="X144" s="699">
        <f t="shared" si="82"/>
        <v>-102.0794890555605</v>
      </c>
      <c r="Y144" s="702">
        <f t="shared" si="83"/>
        <v>77.920510944439499</v>
      </c>
      <c r="AA144" s="174">
        <f t="shared" si="84"/>
        <v>1000000000</v>
      </c>
      <c r="AB144" s="174">
        <f t="shared" si="85"/>
        <v>67616906.702500015</v>
      </c>
      <c r="AD144" s="701">
        <f t="shared" si="86"/>
        <v>27.708348321867511</v>
      </c>
      <c r="AE144" s="702">
        <f t="shared" si="87"/>
        <v>-11.525419539483751</v>
      </c>
      <c r="AG144" s="701">
        <f t="shared" si="88"/>
        <v>8.9297294917121874</v>
      </c>
      <c r="AH144" s="702">
        <f t="shared" si="89"/>
        <v>-78.733577017623219</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5">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1.0006187561783184</v>
      </c>
      <c r="N145" s="694">
        <f t="shared" si="74"/>
        <v>-3.51692279513596E-2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11.131464645069391</v>
      </c>
      <c r="X145" s="699">
        <f t="shared" si="82"/>
        <v>-102.1257668728433</v>
      </c>
      <c r="Y145" s="702">
        <f t="shared" si="83"/>
        <v>77.8742331271567</v>
      </c>
      <c r="AA145" s="174">
        <f t="shared" si="84"/>
        <v>1000000000</v>
      </c>
      <c r="AB145" s="174">
        <f t="shared" si="85"/>
        <v>68397448.575625017</v>
      </c>
      <c r="AD145" s="701">
        <f t="shared" si="86"/>
        <v>27.707006002818098</v>
      </c>
      <c r="AE145" s="702">
        <f t="shared" si="87"/>
        <v>-11.487499563390196</v>
      </c>
      <c r="AG145" s="701">
        <f t="shared" si="88"/>
        <v>8.8810549860595209</v>
      </c>
      <c r="AH145" s="702">
        <f t="shared" si="89"/>
        <v>-78.749982747673158</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5">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1.00062585563615</v>
      </c>
      <c r="N146" s="694">
        <f t="shared" si="74"/>
        <v>-3.5370309516573745E-2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11.081036501692353</v>
      </c>
      <c r="X146" s="699">
        <f t="shared" si="82"/>
        <v>-102.17216285477831</v>
      </c>
      <c r="Y146" s="702">
        <f t="shared" si="83"/>
        <v>77.827837145221693</v>
      </c>
      <c r="AA146" s="174">
        <f t="shared" si="84"/>
        <v>1000000000</v>
      </c>
      <c r="AB146" s="174">
        <f t="shared" si="85"/>
        <v>69182469.760000005</v>
      </c>
      <c r="AD146" s="701">
        <f t="shared" si="86"/>
        <v>27.70568423202554</v>
      </c>
      <c r="AE146" s="702">
        <f t="shared" si="87"/>
        <v>-11.450151033761774</v>
      </c>
      <c r="AG146" s="701">
        <f t="shared" si="88"/>
        <v>8.8326544683179868</v>
      </c>
      <c r="AH146" s="702">
        <f t="shared" si="89"/>
        <v>-78.76593926368767</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5">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1.0006331657734164</v>
      </c>
      <c r="N147" s="694">
        <f t="shared" si="74"/>
        <v>-3.557616818625247E-2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11.029707037513125</v>
      </c>
      <c r="X147" s="699">
        <f t="shared" si="82"/>
        <v>-102.21978218710233</v>
      </c>
      <c r="Y147" s="702">
        <f t="shared" si="83"/>
        <v>77.780217812897675</v>
      </c>
      <c r="AA147" s="174">
        <f t="shared" si="84"/>
        <v>1000000000</v>
      </c>
      <c r="AB147" s="174">
        <f t="shared" si="85"/>
        <v>69990792.602499992</v>
      </c>
      <c r="AD147" s="701">
        <f t="shared" si="86"/>
        <v>27.704351841715148</v>
      </c>
      <c r="AE147" s="702">
        <f t="shared" si="87"/>
        <v>-11.412496849063368</v>
      </c>
      <c r="AG147" s="701">
        <f t="shared" si="88"/>
        <v>8.7833841459517839</v>
      </c>
      <c r="AH147" s="702">
        <f t="shared" si="89"/>
        <v>-78.781817580697421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5">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1.000640518314686</v>
      </c>
      <c r="N148" s="694">
        <f t="shared" si="74"/>
        <v>-3.5782023839423797E-2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10.978674950447211</v>
      </c>
      <c r="X148" s="699">
        <f t="shared" si="82"/>
        <v>-102.26752139397281</v>
      </c>
      <c r="Y148" s="702">
        <f t="shared" si="83"/>
        <v>77.732478606027186</v>
      </c>
      <c r="AA148" s="174">
        <f t="shared" si="84"/>
        <v>1000000000</v>
      </c>
      <c r="AB148" s="174">
        <f t="shared" si="85"/>
        <v>70803810.25</v>
      </c>
      <c r="AD148" s="701">
        <f t="shared" si="86"/>
        <v>27.70304001580039</v>
      </c>
      <c r="AE148" s="702">
        <f t="shared" si="87"/>
        <v>-11.375421916279153</v>
      </c>
      <c r="AG148" s="701">
        <f t="shared" si="88"/>
        <v>8.7343948009338472</v>
      </c>
      <c r="AH148" s="702">
        <f t="shared" si="89"/>
        <v>-78.797240831763872</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5">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1.0006479132590247</v>
      </c>
      <c r="N149" s="694">
        <f t="shared" si="74"/>
        <v>-3.5987876458707498E-2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10.927936712864298</v>
      </c>
      <c r="X149" s="699">
        <f t="shared" si="82"/>
        <v>-102.3153785253232</v>
      </c>
      <c r="Y149" s="702">
        <f t="shared" si="83"/>
        <v>77.684621474676803</v>
      </c>
      <c r="AA149" s="174">
        <f t="shared" si="84"/>
        <v>1000000000</v>
      </c>
      <c r="AB149" s="174">
        <f t="shared" si="85"/>
        <v>71621522.702500015</v>
      </c>
      <c r="AD149" s="701">
        <f t="shared" si="86"/>
        <v>27.701748282677595</v>
      </c>
      <c r="AE149" s="702">
        <f t="shared" si="87"/>
        <v>-11.338916601306835</v>
      </c>
      <c r="AG149" s="701">
        <f t="shared" si="88"/>
        <v>8.6856833762668515</v>
      </c>
      <c r="AH149" s="702">
        <f t="shared" si="89"/>
        <v>-78.812216725162088</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5">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1.0006553506054916</v>
      </c>
      <c r="N150" s="694">
        <f t="shared" si="74"/>
        <v>-3.6193726026724889E-2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10.877488859418239</v>
      </c>
      <c r="X150" s="699">
        <f t="shared" si="82"/>
        <v>-102.3633516705942</v>
      </c>
      <c r="Y150" s="702">
        <f t="shared" si="83"/>
        <v>77.636648329405801</v>
      </c>
      <c r="AA150" s="174">
        <f t="shared" si="84"/>
        <v>1000000000</v>
      </c>
      <c r="AB150" s="174">
        <f t="shared" si="85"/>
        <v>72443929.959999993</v>
      </c>
      <c r="AD150" s="701">
        <f t="shared" si="86"/>
        <v>27.700476183810419</v>
      </c>
      <c r="AE150" s="702">
        <f t="shared" si="87"/>
        <v>-11.302971480571923</v>
      </c>
      <c r="AG150" s="701">
        <f t="shared" si="88"/>
        <v>8.6372468641652151</v>
      </c>
      <c r="AH150" s="702">
        <f t="shared" si="89"/>
        <v>-78.82675279813148</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5">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1.000663000664229</v>
      </c>
      <c r="N151" s="694">
        <f t="shared" si="74"/>
        <v>-3.6404245991870761E-2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10.826192447650227</v>
      </c>
      <c r="X151" s="699">
        <f t="shared" si="82"/>
        <v>-102.41253203350951</v>
      </c>
      <c r="Y151" s="702">
        <f t="shared" si="83"/>
        <v>77.587467966490493</v>
      </c>
      <c r="AA151" s="174">
        <f t="shared" si="84"/>
        <v>1000000000</v>
      </c>
      <c r="AB151" s="174">
        <f t="shared" si="85"/>
        <v>73289864.902500018</v>
      </c>
      <c r="AD151" s="701">
        <f t="shared" si="86"/>
        <v>27.699195046799154</v>
      </c>
      <c r="AE151" s="702">
        <f t="shared" si="87"/>
        <v>-11.266780078764606</v>
      </c>
      <c r="AG151" s="701">
        <f t="shared" si="88"/>
        <v>8.5879919200100581</v>
      </c>
      <c r="AH151" s="702">
        <f t="shared" si="89"/>
        <v>-78.841171663836292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5">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1.0006706950703264</v>
      </c>
      <c r="N152" s="694">
        <f t="shared" si="74"/>
        <v>-3.6614762728865477E-2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10.775192617256085</v>
      </c>
      <c r="X152" s="699">
        <f t="shared" si="82"/>
        <v>-102.46182981842796</v>
      </c>
      <c r="Y152" s="702">
        <f t="shared" si="83"/>
        <v>77.538170181572042</v>
      </c>
      <c r="AA152" s="174">
        <f t="shared" si="84"/>
        <v>1000000000</v>
      </c>
      <c r="AB152" s="174">
        <f t="shared" si="85"/>
        <v>74140710.25</v>
      </c>
      <c r="AD152" s="701">
        <f t="shared" si="86"/>
        <v>27.69793351563489</v>
      </c>
      <c r="AE152" s="702">
        <f t="shared" si="87"/>
        <v>-11.231155310406276</v>
      </c>
      <c r="AG152" s="701">
        <f t="shared" si="88"/>
        <v>8.539018303147504</v>
      </c>
      <c r="AH152" s="702">
        <f t="shared" si="89"/>
        <v>-78.855145929415258</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5">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1.0006784338227603</v>
      </c>
      <c r="N153" s="694">
        <f t="shared" si="74"/>
        <v>-3.6825276219124667E-2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10.724485854208181</v>
      </c>
      <c r="X153" s="699">
        <f t="shared" si="82"/>
        <v>-102.51124310365365</v>
      </c>
      <c r="Y153" s="702">
        <f t="shared" si="83"/>
        <v>77.488756896346345</v>
      </c>
      <c r="AA153" s="174">
        <f t="shared" si="84"/>
        <v>1000000000</v>
      </c>
      <c r="AB153" s="174">
        <f t="shared" si="85"/>
        <v>74996466.002499983</v>
      </c>
      <c r="AD153" s="701">
        <f t="shared" si="86"/>
        <v>27.69669113949675</v>
      </c>
      <c r="AE153" s="702">
        <f t="shared" si="87"/>
        <v>-11.196087742276855</v>
      </c>
      <c r="AG153" s="701">
        <f t="shared" si="88"/>
        <v>8.4903229493096166</v>
      </c>
      <c r="AH153" s="702">
        <f t="shared" si="89"/>
        <v>-78.868683132267535</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5">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1.0006862169205024</v>
      </c>
      <c r="N154" s="694">
        <f t="shared" si="74"/>
        <v>-3.7035786444065681E-2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10.674068706425535</v>
      </c>
      <c r="X154" s="699">
        <f t="shared" si="82"/>
        <v>-102.56077000659306</v>
      </c>
      <c r="Y154" s="702">
        <f t="shared" si="83"/>
        <v>77.43922999340694</v>
      </c>
      <c r="AA154" s="174">
        <f t="shared" si="84"/>
        <v>1000000000</v>
      </c>
      <c r="AB154" s="174">
        <f t="shared" si="85"/>
        <v>75857132.160000011</v>
      </c>
      <c r="AD154" s="701">
        <f t="shared" si="86"/>
        <v>27.69546748006168</v>
      </c>
      <c r="AE154" s="702">
        <f t="shared" si="87"/>
        <v>-11.161568147553679</v>
      </c>
      <c r="AG154" s="701">
        <f t="shared" si="88"/>
        <v>8.4419028436715244</v>
      </c>
      <c r="AH154" s="702">
        <f t="shared" si="89"/>
        <v>-78.881790642481121</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5">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1.0006942305161806</v>
      </c>
      <c r="N155" s="694">
        <f t="shared" si="74"/>
        <v>-3.7251285184767433E-2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10.622752453368545</v>
      </c>
      <c r="X155" s="699">
        <f t="shared" si="82"/>
        <v>-102.61158712742056</v>
      </c>
      <c r="Y155" s="702">
        <f t="shared" si="83"/>
        <v>77.388412872579437</v>
      </c>
      <c r="AA155" s="174">
        <f t="shared" si="84"/>
        <v>1000000000</v>
      </c>
      <c r="AB155" s="174">
        <f t="shared" si="85"/>
        <v>76743294.105625018</v>
      </c>
      <c r="AD155" s="701">
        <f t="shared" si="86"/>
        <v>27.694233746261183</v>
      </c>
      <c r="AE155" s="702">
        <f t="shared" si="87"/>
        <v>-11.126788171841484</v>
      </c>
      <c r="AG155" s="701">
        <f t="shared" si="88"/>
        <v>8.3926165511315585</v>
      </c>
      <c r="AH155" s="702">
        <f t="shared" si="89"/>
        <v>-78.894771402725539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5">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1.0007022905830603</v>
      </c>
      <c r="N156" s="694">
        <f t="shared" si="74"/>
        <v>-3.7466780464046001E-2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10.571732585365446</v>
      </c>
      <c r="X156" s="699">
        <f t="shared" si="82"/>
        <v>-102.66251944711408</v>
      </c>
      <c r="Y156" s="702">
        <f t="shared" si="83"/>
        <v>77.337480552885921</v>
      </c>
      <c r="AA156" s="174">
        <f t="shared" si="84"/>
        <v>1000000000</v>
      </c>
      <c r="AB156" s="174">
        <f t="shared" si="85"/>
        <v>77634602.102499992</v>
      </c>
      <c r="AD156" s="701">
        <f t="shared" si="86"/>
        <v>27.693018736120329</v>
      </c>
      <c r="AE156" s="702">
        <f t="shared" si="87"/>
        <v>-11.092563536633934</v>
      </c>
      <c r="AG156" s="701">
        <f t="shared" si="88"/>
        <v>8.3436124760771619</v>
      </c>
      <c r="AH156" s="702">
        <f t="shared" si="89"/>
        <v>-78.907316962958916</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5">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1.0007103971200184</v>
      </c>
      <c r="N157" s="694">
        <f t="shared" si="74"/>
        <v>-3.7682272261970857E-2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10.521005591261039</v>
      </c>
      <c r="X157" s="699">
        <f t="shared" si="82"/>
        <v>-102.71356506704672</v>
      </c>
      <c r="Y157" s="702">
        <f t="shared" si="83"/>
        <v>77.286434932953284</v>
      </c>
      <c r="AA157" s="174">
        <f t="shared" si="84"/>
        <v>1000000000</v>
      </c>
      <c r="AB157" s="174">
        <f t="shared" si="85"/>
        <v>78531056.15062499</v>
      </c>
      <c r="AD157" s="701">
        <f t="shared" si="86"/>
        <v>27.691822017449997</v>
      </c>
      <c r="AE157" s="702">
        <f t="shared" si="87"/>
        <v>-11.058884979345324</v>
      </c>
      <c r="AG157" s="701">
        <f t="shared" si="88"/>
        <v>8.2948875383787541</v>
      </c>
      <c r="AH157" s="702">
        <f t="shared" si="89"/>
        <v>-78.919434714836356</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5">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1.0007185501259261</v>
      </c>
      <c r="N158" s="694">
        <f t="shared" si="74"/>
        <v>-3.789776055861338E-2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10.47056802176095</v>
      </c>
      <c r="X158" s="699">
        <f t="shared" si="82"/>
        <v>-102.76472212741525</v>
      </c>
      <c r="Y158" s="702">
        <f t="shared" si="83"/>
        <v>77.235277872584746</v>
      </c>
      <c r="AA158" s="174">
        <f t="shared" si="84"/>
        <v>1000000000</v>
      </c>
      <c r="AB158" s="174">
        <f t="shared" si="85"/>
        <v>79432656.25</v>
      </c>
      <c r="AD158" s="701">
        <f t="shared" si="86"/>
        <v>27.690643170059587</v>
      </c>
      <c r="AE158" s="702">
        <f t="shared" si="87"/>
        <v>-11.025743440490219</v>
      </c>
      <c r="AG158" s="701">
        <f t="shared" si="88"/>
        <v>8.2464387077625148</v>
      </c>
      <c r="AH158" s="702">
        <f t="shared" si="89"/>
        <v>-78.931131885721797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5">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1.0007269400838936</v>
      </c>
      <c r="N159" s="694">
        <f t="shared" si="74"/>
        <v>-3.8118236807411658E-2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10.4192581347207</v>
      </c>
      <c r="X159" s="699">
        <f t="shared" si="82"/>
        <v>-102.8171776384672</v>
      </c>
      <c r="Y159" s="702">
        <f t="shared" si="83"/>
        <v>77.1828223615328</v>
      </c>
      <c r="AA159" s="174">
        <f t="shared" si="84"/>
        <v>1000000000</v>
      </c>
      <c r="AB159" s="174">
        <f t="shared" si="85"/>
        <v>80360467.359999999</v>
      </c>
      <c r="AD159" s="701">
        <f t="shared" si="86"/>
        <v>27.689455086648017</v>
      </c>
      <c r="AE159" s="702">
        <f t="shared" si="87"/>
        <v>-10.992380787064137</v>
      </c>
      <c r="AG159" s="701">
        <f t="shared" si="88"/>
        <v>8.197150268029354</v>
      </c>
      <c r="AH159" s="702">
        <f t="shared" si="89"/>
        <v>-78.942672074473805</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5">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1.0007353786861564</v>
      </c>
      <c r="N160" s="694">
        <f t="shared" si="74"/>
        <v>-3.8338709348638506E-2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10.368244122688461</v>
      </c>
      <c r="X160" s="699">
        <f t="shared" si="82"/>
        <v>-102.86974599388195</v>
      </c>
      <c r="Y160" s="702">
        <f t="shared" si="83"/>
        <v>77.130254006118051</v>
      </c>
      <c r="AA160" s="174">
        <f t="shared" si="84"/>
        <v>1000000000</v>
      </c>
      <c r="AB160" s="174">
        <f t="shared" si="85"/>
        <v>81293665.689999983</v>
      </c>
      <c r="AD160" s="701">
        <f t="shared" si="86"/>
        <v>27.688284858869451</v>
      </c>
      <c r="AE160" s="702">
        <f t="shared" si="87"/>
        <v>-10.959561759131644</v>
      </c>
      <c r="AG160" s="701">
        <f t="shared" si="88"/>
        <v>8.1481446123415076</v>
      </c>
      <c r="AH160" s="702">
        <f t="shared" si="89"/>
        <v>-78.95378677186207</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5">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1.0007438659314845</v>
      </c>
      <c r="N161" s="694">
        <f t="shared" si="74"/>
        <v>-3.8559178160954492E-2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10.317522482831453</v>
      </c>
      <c r="X161" s="699">
        <f t="shared" si="82"/>
        <v>-102.92242532156446</v>
      </c>
      <c r="Y161" s="702">
        <f t="shared" si="83"/>
        <v>77.077574678435539</v>
      </c>
      <c r="AA161" s="174">
        <f t="shared" si="84"/>
        <v>1000000000</v>
      </c>
      <c r="AB161" s="174">
        <f t="shared" si="85"/>
        <v>82232251.24000001</v>
      </c>
      <c r="AD161" s="701">
        <f t="shared" si="86"/>
        <v>27.687132073120708</v>
      </c>
      <c r="AE161" s="702">
        <f t="shared" si="87"/>
        <v>-10.927277277848349</v>
      </c>
      <c r="AG161" s="701">
        <f t="shared" si="88"/>
        <v>8.0994186501954459</v>
      </c>
      <c r="AH161" s="702">
        <f t="shared" si="89"/>
        <v>-78.964483214234818</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5">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1.00075240181864</v>
      </c>
      <c r="N162" s="694">
        <f t="shared" si="74"/>
        <v>-3.8779643223022291E-2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10.267089773964106</v>
      </c>
      <c r="X162" s="699">
        <f t="shared" si="82"/>
        <v>-102.97521378785842</v>
      </c>
      <c r="Y162" s="702">
        <f t="shared" si="83"/>
        <v>77.024786212141578</v>
      </c>
      <c r="AA162" s="174">
        <f t="shared" si="84"/>
        <v>1000000000</v>
      </c>
      <c r="AB162" s="174">
        <f t="shared" si="85"/>
        <v>83176224.010000005</v>
      </c>
      <c r="AD162" s="701">
        <f t="shared" si="86"/>
        <v>27.685996327291058</v>
      </c>
      <c r="AE162" s="702">
        <f t="shared" si="87"/>
        <v>-10.895518463747203</v>
      </c>
      <c r="AG162" s="701">
        <f t="shared" si="88"/>
        <v>8.0509693412355805</v>
      </c>
      <c r="AH162" s="702">
        <f t="shared" si="89"/>
        <v>-78.974768476983172</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5">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1.0007611854078793</v>
      </c>
      <c r="N163" s="694">
        <f t="shared" si="74"/>
        <v>-3.9005201839604653E-2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10.215786494095614</v>
      </c>
      <c r="X163" s="699">
        <f t="shared" si="82"/>
        <v>-103.02933387659843</v>
      </c>
      <c r="Y163" s="702">
        <f t="shared" si="83"/>
        <v>76.970666123401571</v>
      </c>
      <c r="AA163" s="174">
        <f t="shared" si="84"/>
        <v>1000000000</v>
      </c>
      <c r="AB163" s="174">
        <f t="shared" si="85"/>
        <v>84147598.24000001</v>
      </c>
      <c r="AD163" s="701">
        <f t="shared" si="86"/>
        <v>27.684851549179221</v>
      </c>
      <c r="AE163" s="702">
        <f t="shared" si="87"/>
        <v>-10.863560323547439</v>
      </c>
      <c r="AG163" s="701">
        <f t="shared" si="88"/>
        <v>8.0016830197004722</v>
      </c>
      <c r="AH163" s="702">
        <f t="shared" si="89"/>
        <v>-78.984873214127887</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5">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1.0007700199116394</v>
      </c>
      <c r="N164" s="694">
        <f t="shared" si="74"/>
        <v>-3.9230756485331891E-2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10.16477856447991</v>
      </c>
      <c r="X164" s="699">
        <f t="shared" si="82"/>
        <v>-103.08356444500555</v>
      </c>
      <c r="Y164" s="702">
        <f t="shared" si="83"/>
        <v>76.91643555499445</v>
      </c>
      <c r="AA164" s="174">
        <f t="shared" si="84"/>
        <v>1000000000</v>
      </c>
      <c r="AB164" s="174">
        <f t="shared" si="85"/>
        <v>85124611.689999983</v>
      </c>
      <c r="AD164" s="701">
        <f t="shared" si="86"/>
        <v>27.683723791713003</v>
      </c>
      <c r="AE164" s="702">
        <f t="shared" si="87"/>
        <v>-10.83213425127056</v>
      </c>
      <c r="AG164" s="701">
        <f t="shared" si="88"/>
        <v>7.9526800099126662</v>
      </c>
      <c r="AH164" s="702">
        <f t="shared" si="89"/>
        <v>-78.994562024761109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5">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1.0007789053285718</v>
      </c>
      <c r="N165" s="694">
        <f t="shared" si="74"/>
        <v>-3.9456307137359356E-2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10.114062490751973</v>
      </c>
      <c r="X165" s="699">
        <f t="shared" si="82"/>
        <v>-103.13790364798659</v>
      </c>
      <c r="Y165" s="702">
        <f t="shared" si="83"/>
        <v>76.86209635201341</v>
      </c>
      <c r="AA165" s="174">
        <f t="shared" si="84"/>
        <v>1000000000</v>
      </c>
      <c r="AB165" s="174">
        <f t="shared" si="85"/>
        <v>86107264.359999999</v>
      </c>
      <c r="AD165" s="701">
        <f t="shared" si="86"/>
        <v>27.682612659163194</v>
      </c>
      <c r="AE165" s="702">
        <f t="shared" si="87"/>
        <v>-10.801231350475557</v>
      </c>
      <c r="AG165" s="701">
        <f t="shared" si="88"/>
        <v>7.9039572118420249</v>
      </c>
      <c r="AH165" s="702">
        <f t="shared" si="89"/>
        <v>-79.003841991855083</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5">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1.0007878416573208</v>
      </c>
      <c r="N166" s="694">
        <f t="shared" si="74"/>
        <v>-3.9681853772844791E-2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10.063634839977556</v>
      </c>
      <c r="X166" s="699">
        <f t="shared" si="82"/>
        <v>-103.19234967847339</v>
      </c>
      <c r="Y166" s="702">
        <f t="shared" si="83"/>
        <v>76.807650321526609</v>
      </c>
      <c r="AA166" s="174">
        <f t="shared" si="84"/>
        <v>1000000000</v>
      </c>
      <c r="AB166" s="174">
        <f t="shared" si="85"/>
        <v>87095556.25</v>
      </c>
      <c r="AD166" s="701">
        <f t="shared" si="86"/>
        <v>27.681517766805015</v>
      </c>
      <c r="AE166" s="702">
        <f t="shared" si="87"/>
        <v>-10.770842920370754</v>
      </c>
      <c r="AG166" s="701">
        <f t="shared" si="88"/>
        <v>7.8555115758771841</v>
      </c>
      <c r="AH166" s="702">
        <f t="shared" si="89"/>
        <v>-79.012720040737221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5">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1.0007970410738574</v>
      </c>
      <c r="N167" s="694">
        <f t="shared" si="74"/>
        <v>-3.9912705703246537E-2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10.01231526488546</v>
      </c>
      <c r="X167" s="699">
        <f t="shared" si="82"/>
        <v>-103.24818617728602</v>
      </c>
      <c r="Y167" s="702">
        <f t="shared" si="83"/>
        <v>76.751813822713984</v>
      </c>
      <c r="AA167" s="174">
        <f t="shared" si="84"/>
        <v>1000000000</v>
      </c>
      <c r="AB167" s="174">
        <f t="shared" si="85"/>
        <v>88112952.922499999</v>
      </c>
      <c r="AD167" s="701">
        <f t="shared" si="86"/>
        <v>27.680413527915817</v>
      </c>
      <c r="AE167" s="702">
        <f t="shared" si="87"/>
        <v>-10.740263029981616</v>
      </c>
      <c r="AG167" s="701">
        <f t="shared" si="88"/>
        <v>7.8062094004994362</v>
      </c>
      <c r="AH167" s="702">
        <f t="shared" si="89"/>
        <v>-79.021397928780999</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5">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1.0008062938245017</v>
      </c>
      <c r="N168" s="694">
        <f t="shared" si="74"/>
        <v>-4.0143553377361613E-2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9.961290765213322</v>
      </c>
      <c r="X168" s="699">
        <f t="shared" si="82"/>
        <v>-103.30413087939692</v>
      </c>
      <c r="Y168" s="702">
        <f t="shared" si="83"/>
        <v>76.695869120603078</v>
      </c>
      <c r="AA168" s="174">
        <f t="shared" si="84"/>
        <v>1000000000</v>
      </c>
      <c r="AB168" s="174">
        <f t="shared" si="85"/>
        <v>89136257.440000013</v>
      </c>
      <c r="AD168" s="701">
        <f t="shared" si="86"/>
        <v>27.679325520991537</v>
      </c>
      <c r="AE168" s="702">
        <f t="shared" si="87"/>
        <v>-10.710204277203562</v>
      </c>
      <c r="AG168" s="701">
        <f t="shared" si="88"/>
        <v>7.7571912821162474</v>
      </c>
      <c r="AH168" s="702">
        <f t="shared" si="89"/>
        <v>-79.02966894712857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5">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1.0008155999077748</v>
      </c>
      <c r="N169" s="694">
        <f t="shared" si="74"/>
        <v>-4.0374396770704361E-2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9.9105578505242402</v>
      </c>
      <c r="X169" s="699">
        <f t="shared" si="82"/>
        <v>-103.36018196466438</v>
      </c>
      <c r="Y169" s="702">
        <f t="shared" si="83"/>
        <v>76.639818035335622</v>
      </c>
      <c r="AA169" s="174">
        <f t="shared" si="84"/>
        <v>1000000000</v>
      </c>
      <c r="AB169" s="174">
        <f t="shared" si="85"/>
        <v>90165469.80249998</v>
      </c>
      <c r="AD169" s="701">
        <f t="shared" si="86"/>
        <v>27.678253366979035</v>
      </c>
      <c r="AE169" s="702">
        <f t="shared" si="87"/>
        <v>-10.680657934829782</v>
      </c>
      <c r="AG169" s="701">
        <f t="shared" si="88"/>
        <v>7.7084541078158875</v>
      </c>
      <c r="AH169" s="702">
        <f t="shared" si="89"/>
        <v>-79.037540036667309</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5">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1.000824959322189</v>
      </c>
      <c r="N170" s="694">
        <f t="shared" si="74"/>
        <v>-4.0605235858791874E-2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9.8601130917020345</v>
      </c>
      <c r="X170" s="699">
        <f t="shared" si="82"/>
        <v>-103.4163376505975</v>
      </c>
      <c r="Y170" s="702">
        <f t="shared" si="83"/>
        <v>76.583662349402502</v>
      </c>
      <c r="AA170" s="174">
        <f t="shared" si="84"/>
        <v>1000000000</v>
      </c>
      <c r="AB170" s="174">
        <f t="shared" si="85"/>
        <v>91200590.00999999</v>
      </c>
      <c r="AD170" s="701">
        <f t="shared" si="86"/>
        <v>27.677196697378026</v>
      </c>
      <c r="AE170" s="702">
        <f t="shared" si="87"/>
        <v>-10.651615467917171</v>
      </c>
      <c r="AG170" s="701">
        <f t="shared" si="88"/>
        <v>7.6599948154462849</v>
      </c>
      <c r="AH170" s="702">
        <f t="shared" si="89"/>
        <v>-79.045017983653736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5">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1.0008345935205851</v>
      </c>
      <c r="N171" s="694">
        <f t="shared" si="74"/>
        <v>-4.084148573179288E-2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9.808779805495206</v>
      </c>
      <c r="X171" s="699">
        <f t="shared" si="82"/>
        <v>-103.47391718480544</v>
      </c>
      <c r="Y171" s="702">
        <f t="shared" si="83"/>
        <v>76.526082815194556</v>
      </c>
      <c r="AA171" s="174">
        <f t="shared" si="84"/>
        <v>1000000000</v>
      </c>
      <c r="AB171" s="174">
        <f t="shared" si="85"/>
        <v>92266110.52562499</v>
      </c>
      <c r="AD171" s="701">
        <f t="shared" si="86"/>
        <v>27.676130899002796</v>
      </c>
      <c r="AE171" s="702">
        <f t="shared" si="87"/>
        <v>-10.622404726328242</v>
      </c>
      <c r="AG171" s="701">
        <f t="shared" si="88"/>
        <v>7.6106833068156368</v>
      </c>
      <c r="AH171" s="702">
        <f t="shared" si="89"/>
        <v>-79.052271195456129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5">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1.0008442835784883</v>
      </c>
      <c r="N172" s="694">
        <f t="shared" si="74"/>
        <v>-4.1077731043291925E-2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9.757741276029666</v>
      </c>
      <c r="X172" s="699">
        <f t="shared" si="82"/>
        <v>-103.53160262361403</v>
      </c>
      <c r="Y172" s="702">
        <f t="shared" si="83"/>
        <v>76.468397376385965</v>
      </c>
      <c r="AA172" s="174">
        <f t="shared" si="84"/>
        <v>1000000000</v>
      </c>
      <c r="AB172" s="174">
        <f t="shared" si="85"/>
        <v>93337819.32249999</v>
      </c>
      <c r="AD172" s="701">
        <f t="shared" si="86"/>
        <v>27.675080571385415</v>
      </c>
      <c r="AE172" s="702">
        <f t="shared" si="87"/>
        <v>-10.593704282969103</v>
      </c>
      <c r="AG172" s="701">
        <f t="shared" si="88"/>
        <v>7.5616565386946153</v>
      </c>
      <c r="AH172" s="702">
        <f t="shared" si="89"/>
        <v>-79.059126508532898</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5">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1.0008540294942763</v>
      </c>
      <c r="N173" s="694">
        <f t="shared" si="74"/>
        <v>-4.1313971767051275E-2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9.7069940174520486</v>
      </c>
      <c r="X173" s="699">
        <f t="shared" si="82"/>
        <v>-103.58939217247416</v>
      </c>
      <c r="Y173" s="702">
        <f t="shared" si="83"/>
        <v>76.410607827525837</v>
      </c>
      <c r="AA173" s="174">
        <f t="shared" si="84"/>
        <v>1000000000</v>
      </c>
      <c r="AB173" s="174">
        <f t="shared" si="85"/>
        <v>94415716.40062499</v>
      </c>
      <c r="AD173" s="701">
        <f t="shared" si="86"/>
        <v>27.67404535157867</v>
      </c>
      <c r="AE173" s="702">
        <f t="shared" si="87"/>
        <v>-10.565505579995357</v>
      </c>
      <c r="AG173" s="701">
        <f t="shared" si="88"/>
        <v>7.5129113865033004</v>
      </c>
      <c r="AH173" s="702">
        <f t="shared" si="89"/>
        <v>-79.065590722342975</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5">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1.0008638312663174</v>
      </c>
      <c r="N174" s="694">
        <f t="shared" si="74"/>
        <v>-4.1550207876836324E-2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9.6565346051047012</v>
      </c>
      <c r="X174" s="699">
        <f t="shared" si="82"/>
        <v>-103.64728407408533</v>
      </c>
      <c r="Y174" s="702">
        <f t="shared" si="83"/>
        <v>76.352715925914666</v>
      </c>
      <c r="AA174" s="174">
        <f t="shared" si="84"/>
        <v>1000000000</v>
      </c>
      <c r="AB174" s="174">
        <f t="shared" si="85"/>
        <v>95499801.75999999</v>
      </c>
      <c r="AD174" s="701">
        <f t="shared" si="86"/>
        <v>27.673024886750209</v>
      </c>
      <c r="AE174" s="702">
        <f t="shared" si="87"/>
        <v>-10.537800248396527</v>
      </c>
      <c r="AG174" s="701">
        <f t="shared" si="88"/>
        <v>7.4644447767336173</v>
      </c>
      <c r="AH174" s="702">
        <f t="shared" si="89"/>
        <v>-79.071670484737837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5">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1.0008739154978556</v>
      </c>
      <c r="N175" s="694">
        <f t="shared" si="74"/>
        <v>-4.1791854035606417E-2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9.6052129058570088</v>
      </c>
      <c r="X175" s="699">
        <f t="shared" si="82"/>
        <v>-103.70660704085267</v>
      </c>
      <c r="Y175" s="702">
        <f t="shared" si="83"/>
        <v>76.293392959147326</v>
      </c>
      <c r="AA175" s="174">
        <f t="shared" si="84"/>
        <v>1000000000</v>
      </c>
      <c r="AB175" s="174">
        <f t="shared" si="85"/>
        <v>96615138.48999998</v>
      </c>
      <c r="AD175" s="701">
        <f t="shared" si="86"/>
        <v>27.671995940059517</v>
      </c>
      <c r="AE175" s="702">
        <f t="shared" si="87"/>
        <v>-10.50996180479231</v>
      </c>
      <c r="AG175" s="701">
        <f t="shared" si="88"/>
        <v>7.4151522874779001</v>
      </c>
      <c r="AH175" s="702">
        <f t="shared" si="89"/>
        <v>-79.077498609028154</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5">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1.0008840581721106</v>
      </c>
      <c r="N176" s="694">
        <f t="shared" si="74"/>
        <v>-4.2033495310939577E-2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9.5541853406092745</v>
      </c>
      <c r="X176" s="699">
        <f t="shared" si="82"/>
        <v>-103.76603350181897</v>
      </c>
      <c r="Y176" s="702">
        <f t="shared" si="83"/>
        <v>76.233966498181033</v>
      </c>
      <c r="AA176" s="174">
        <f t="shared" si="84"/>
        <v>1000000000</v>
      </c>
      <c r="AB176" s="174">
        <f t="shared" si="85"/>
        <v>97736950.440000013</v>
      </c>
      <c r="AD176" s="701">
        <f t="shared" si="86"/>
        <v>27.670981716633172</v>
      </c>
      <c r="AE176" s="702">
        <f t="shared" si="87"/>
        <v>-10.482622477335614</v>
      </c>
      <c r="AG176" s="701">
        <f t="shared" si="88"/>
        <v>7.3661449092967253</v>
      </c>
      <c r="AH176" s="702">
        <f t="shared" si="89"/>
        <v>-79.0829380595071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5">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1.0008942592873058</v>
      </c>
      <c r="N177" s="694">
        <f t="shared" si="74"/>
        <v>-4.227513167476557E-2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9.5034484333429834</v>
      </c>
      <c r="X177" s="699">
        <f t="shared" si="82"/>
        <v>-103.82556169091666</v>
      </c>
      <c r="Y177" s="702">
        <f t="shared" si="83"/>
        <v>76.174438309083342</v>
      </c>
      <c r="AA177" s="174">
        <f t="shared" si="84"/>
        <v>1000000000</v>
      </c>
      <c r="AB177" s="174">
        <f t="shared" si="85"/>
        <v>98865237.610000014</v>
      </c>
      <c r="AD177" s="701">
        <f t="shared" si="86"/>
        <v>27.669981869525728</v>
      </c>
      <c r="AE177" s="702">
        <f t="shared" si="87"/>
        <v>-10.455773888516783</v>
      </c>
      <c r="AG177" s="701">
        <f t="shared" si="88"/>
        <v>7.3174195112863449</v>
      </c>
      <c r="AH177" s="702">
        <f t="shared" si="89"/>
        <v>-79.087995486218773</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5">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1.0009045188416543</v>
      </c>
      <c r="N178" s="694">
        <f t="shared" si="74"/>
        <v>-4.2516763099017606E-2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9.4529987689881771</v>
      </c>
      <c r="X178" s="699">
        <f t="shared" si="82"/>
        <v>-103.8851898788312</v>
      </c>
      <c r="Y178" s="702">
        <f t="shared" si="83"/>
        <v>76.114810121168802</v>
      </c>
      <c r="AA178" s="174">
        <f t="shared" si="84"/>
        <v>1000000000</v>
      </c>
      <c r="AB178" s="174">
        <f t="shared" si="85"/>
        <v>100000000</v>
      </c>
      <c r="AD178" s="701">
        <f t="shared" si="86"/>
        <v>27.668996061465304</v>
      </c>
      <c r="AE178" s="702">
        <f t="shared" si="87"/>
        <v>-10.429407845867878</v>
      </c>
      <c r="AG178" s="701">
        <f t="shared" si="88"/>
        <v>7.2689730138084325</v>
      </c>
      <c r="AH178" s="702">
        <f t="shared" si="89"/>
        <v>-79.092677390890927</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5">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1.0009150823459958</v>
      </c>
      <c r="N179" s="694">
        <f t="shared" si="74"/>
        <v>-4.2764122284466077E-2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9.4016461875725383</v>
      </c>
      <c r="X179" s="699">
        <f t="shared" si="82"/>
        <v>-103.94633461316745</v>
      </c>
      <c r="Y179" s="702">
        <f t="shared" si="83"/>
        <v>76.053665386832549</v>
      </c>
      <c r="AA179" s="174">
        <f t="shared" si="84"/>
        <v>1000000000</v>
      </c>
      <c r="AB179" s="174">
        <f t="shared" si="85"/>
        <v>101168393.0625</v>
      </c>
      <c r="AD179" s="701">
        <f t="shared" si="86"/>
        <v>27.668001064604553</v>
      </c>
      <c r="AE179" s="702">
        <f t="shared" si="87"/>
        <v>-10.402907737611438</v>
      </c>
      <c r="AG179" s="701">
        <f t="shared" si="88"/>
        <v>7.2196628248338754</v>
      </c>
      <c r="AH179" s="702">
        <f t="shared" si="89"/>
        <v>-79.097088022340898</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5">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1.0009257070916</v>
      </c>
      <c r="N180" s="694">
        <f t="shared" si="74"/>
        <v>-4.3011476233653444E-2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9.3505875875207494</v>
      </c>
      <c r="X180" s="699">
        <f t="shared" si="82"/>
        <v>-104.00758059399044</v>
      </c>
      <c r="Y180" s="702">
        <f t="shared" si="83"/>
        <v>75.99241940600956</v>
      </c>
      <c r="AA180" s="174">
        <f t="shared" si="84"/>
        <v>1000000000</v>
      </c>
      <c r="AB180" s="174">
        <f t="shared" si="85"/>
        <v>102343572.25</v>
      </c>
      <c r="AD180" s="701">
        <f t="shared" si="86"/>
        <v>27.667020095240446</v>
      </c>
      <c r="AE180" s="702">
        <f t="shared" si="87"/>
        <v>-10.376896541925834</v>
      </c>
      <c r="AG180" s="701">
        <f t="shared" si="88"/>
        <v>7.1706385559826602</v>
      </c>
      <c r="AH180" s="702">
        <f t="shared" si="89"/>
        <v>-79.101118432061767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5">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1.0009363930765165</v>
      </c>
      <c r="N181" s="694">
        <f t="shared" si="74"/>
        <v>-4.3258824916478728E-2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9.2998194942098991</v>
      </c>
      <c r="X181" s="699">
        <f t="shared" si="82"/>
        <v>-104.06892607956577</v>
      </c>
      <c r="Y181" s="702">
        <f t="shared" si="83"/>
        <v>75.93107392043423</v>
      </c>
      <c r="AA181" s="174">
        <f t="shared" si="84"/>
        <v>1000000000</v>
      </c>
      <c r="AB181" s="174">
        <f t="shared" si="85"/>
        <v>103525537.5625</v>
      </c>
      <c r="AD181" s="701">
        <f t="shared" si="86"/>
        <v>27.666052820969774</v>
      </c>
      <c r="AE181" s="702">
        <f t="shared" si="87"/>
        <v>-10.351366039422345</v>
      </c>
      <c r="AG181" s="701">
        <f t="shared" si="88"/>
        <v>7.1218970630283129</v>
      </c>
      <c r="AH181" s="702">
        <f t="shared" si="89"/>
        <v>-79.104775139004886</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5">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1.000947140298784</v>
      </c>
      <c r="N182" s="694">
        <f t="shared" si="74"/>
        <v>-4.350616830284483E-2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9.2493384939159533</v>
      </c>
      <c r="X182" s="699">
        <f t="shared" si="82"/>
        <v>-104.13036936451782</v>
      </c>
      <c r="Y182" s="702">
        <f t="shared" si="83"/>
        <v>75.869630635482181</v>
      </c>
      <c r="AA182" s="174">
        <f t="shared" si="84"/>
        <v>1000000000</v>
      </c>
      <c r="AB182" s="174">
        <f t="shared" si="85"/>
        <v>104714289</v>
      </c>
      <c r="AD182" s="701">
        <f t="shared" si="86"/>
        <v>27.665098918668782</v>
      </c>
      <c r="AE182" s="702">
        <f t="shared" si="87"/>
        <v>-10.326308192574253</v>
      </c>
      <c r="AG182" s="701">
        <f t="shared" si="88"/>
        <v>7.0734352533532476</v>
      </c>
      <c r="AH182" s="702">
        <f t="shared" si="89"/>
        <v>-79.108064516585131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5">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1.0009581813686976</v>
      </c>
      <c r="N183" s="694">
        <f t="shared" si="74"/>
        <v>-4.3758813987745018E-2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9.1980671232343738</v>
      </c>
      <c r="X183" s="699">
        <f t="shared" si="82"/>
        <v>-104.19323040860581</v>
      </c>
      <c r="Y183" s="702">
        <f t="shared" si="83"/>
        <v>75.806769591394186</v>
      </c>
      <c r="AA183" s="174">
        <f t="shared" si="84"/>
        <v>1000000000</v>
      </c>
      <c r="AB183" s="174">
        <f t="shared" si="85"/>
        <v>105935556.25</v>
      </c>
      <c r="AD183" s="701">
        <f t="shared" si="86"/>
        <v>27.664138025229764</v>
      </c>
      <c r="AE183" s="702">
        <f t="shared" si="87"/>
        <v>-10.301192429852707</v>
      </c>
      <c r="AG183" s="701">
        <f t="shared" si="88"/>
        <v>7.0242190781060856</v>
      </c>
      <c r="AH183" s="702">
        <f t="shared" si="89"/>
        <v>-79.111051723020296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5">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1.0009692863282023</v>
      </c>
      <c r="N184" s="694">
        <f t="shared" si="74"/>
        <v>-4.4011454082964307E-2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9.1470882875588639</v>
      </c>
      <c r="X184" s="699">
        <f t="shared" si="82"/>
        <v>-104.25619000960889</v>
      </c>
      <c r="Y184" s="702">
        <f t="shared" si="83"/>
        <v>75.743809990391114</v>
      </c>
      <c r="AA184" s="174">
        <f t="shared" si="84"/>
        <v>1000000000</v>
      </c>
      <c r="AB184" s="174">
        <f t="shared" si="85"/>
        <v>107163904</v>
      </c>
      <c r="AD184" s="701">
        <f t="shared" si="86"/>
        <v>27.66319043060237</v>
      </c>
      <c r="AE184" s="702">
        <f t="shared" si="87"/>
        <v>-10.276553432795181</v>
      </c>
      <c r="AG184" s="701">
        <f t="shared" si="88"/>
        <v>6.9752883556312959</v>
      </c>
      <c r="AH184" s="702">
        <f t="shared" si="89"/>
        <v>-79.11366866106718</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5">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1.0009804551751713</v>
      </c>
      <c r="N185" s="694">
        <f t="shared" si="74"/>
        <v>-4.4264088556438763E-2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9.0963985363774533</v>
      </c>
      <c r="X185" s="699">
        <f t="shared" si="82"/>
        <v>-104.31924646148489</v>
      </c>
      <c r="Y185" s="702">
        <f t="shared" si="83"/>
        <v>75.680753538515106</v>
      </c>
      <c r="AA185" s="174">
        <f t="shared" si="84"/>
        <v>1000000000</v>
      </c>
      <c r="AB185" s="174">
        <f t="shared" si="85"/>
        <v>108399332.25</v>
      </c>
      <c r="AD185" s="701">
        <f t="shared" si="86"/>
        <v>27.66225581844099</v>
      </c>
      <c r="AE185" s="702">
        <f t="shared" si="87"/>
        <v>-10.252383191228965</v>
      </c>
      <c r="AG185" s="701">
        <f t="shared" si="88"/>
        <v>6.9266399495778108</v>
      </c>
      <c r="AH185" s="702">
        <f t="shared" si="89"/>
        <v>-79.115921678733912</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5">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1.0009916879074663</v>
      </c>
      <c r="N186" s="694">
        <f t="shared" si="74"/>
        <v>-4.4516717376108718E-2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9.0459944794995923</v>
      </c>
      <c r="X186" s="699">
        <f t="shared" si="82"/>
        <v>-104.38239809382453</v>
      </c>
      <c r="Y186" s="702">
        <f t="shared" si="83"/>
        <v>75.617601906175466</v>
      </c>
      <c r="AA186" s="174">
        <f t="shared" si="84"/>
        <v>1000000000</v>
      </c>
      <c r="AB186" s="174">
        <f t="shared" si="85"/>
        <v>109641841</v>
      </c>
      <c r="AD186" s="701">
        <f t="shared" si="86"/>
        <v>27.661333881222575</v>
      </c>
      <c r="AE186" s="702">
        <f t="shared" si="87"/>
        <v>-10.228673872122551</v>
      </c>
      <c r="AG186" s="701">
        <f t="shared" si="88"/>
        <v>6.8782707750814334</v>
      </c>
      <c r="AH186" s="702">
        <f t="shared" si="89"/>
        <v>-79.117816982486829</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5">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1.0010032701370934</v>
      </c>
      <c r="N187" s="694">
        <f t="shared" si="74"/>
        <v>-4.4775709086594111E-2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8.9946128337860394</v>
      </c>
      <c r="X187" s="699">
        <f t="shared" si="82"/>
        <v>-104.44723888197503</v>
      </c>
      <c r="Y187" s="702">
        <f t="shared" si="83"/>
        <v>75.552761118024975</v>
      </c>
      <c r="AA187" s="174">
        <f t="shared" si="84"/>
        <v>1000000000</v>
      </c>
      <c r="AB187" s="174">
        <f t="shared" si="85"/>
        <v>110923024</v>
      </c>
      <c r="AD187" s="701">
        <f t="shared" si="86"/>
        <v>27.660401547216395</v>
      </c>
      <c r="AE187" s="702">
        <f t="shared" si="87"/>
        <v>-10.204837319278994</v>
      </c>
      <c r="AG187" s="701">
        <f t="shared" si="88"/>
        <v>6.8289689127519848</v>
      </c>
      <c r="AH187" s="702">
        <f t="shared" si="89"/>
        <v>-79.119395064747948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5">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1.0010149195091662</v>
      </c>
      <c r="N188" s="694">
        <f t="shared" si="74"/>
        <v>-4.5034694786387469E-2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8.9435244407736256</v>
      </c>
      <c r="X188" s="699">
        <f t="shared" si="82"/>
        <v>-104.51217626536985</v>
      </c>
      <c r="Y188" s="702">
        <f t="shared" si="83"/>
        <v>75.487823734630155</v>
      </c>
      <c r="AA188" s="174">
        <f t="shared" si="84"/>
        <v>1000000000</v>
      </c>
      <c r="AB188" s="174">
        <f t="shared" si="85"/>
        <v>112211649</v>
      </c>
      <c r="AD188" s="701">
        <f t="shared" si="86"/>
        <v>27.659481907874973</v>
      </c>
      <c r="AE188" s="702">
        <f t="shared" si="87"/>
        <v>-10.181469098485682</v>
      </c>
      <c r="AG188" s="701">
        <f t="shared" si="88"/>
        <v>6.7799541331103459</v>
      </c>
      <c r="AH188" s="702">
        <f t="shared" si="89"/>
        <v>-79.120609941380494</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5">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1.0010266360213407</v>
      </c>
      <c r="N189" s="694">
        <f t="shared" si="74"/>
        <v>-4.5293674440957055E-2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8.8927258357159715</v>
      </c>
      <c r="X189" s="699">
        <f t="shared" si="82"/>
        <v>-104.57720855471678</v>
      </c>
      <c r="Y189" s="702">
        <f t="shared" si="83"/>
        <v>75.422791445283224</v>
      </c>
      <c r="AA189" s="174">
        <f t="shared" si="84"/>
        <v>1000000000</v>
      </c>
      <c r="AB189" s="174">
        <f t="shared" si="85"/>
        <v>113507716</v>
      </c>
      <c r="AD189" s="701">
        <f t="shared" si="86"/>
        <v>27.658574658819091</v>
      </c>
      <c r="AE189" s="702">
        <f t="shared" si="87"/>
        <v>-10.158561317743132</v>
      </c>
      <c r="AG189" s="701">
        <f t="shared" si="88"/>
        <v>6.7312232733842228</v>
      </c>
      <c r="AH189" s="702">
        <f t="shared" si="89"/>
        <v>-79.121467862222175</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5">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1.0010384196712594</v>
      </c>
      <c r="N190" s="694">
        <f t="shared" si="74"/>
        <v>-4.5552648015775972E-2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8.8422136145027892</v>
      </c>
      <c r="X190" s="699">
        <f t="shared" si="82"/>
        <v>-104.64233409614552</v>
      </c>
      <c r="Y190" s="702">
        <f t="shared" si="83"/>
        <v>75.357665903854482</v>
      </c>
      <c r="AA190" s="174">
        <f t="shared" si="84"/>
        <v>1000000000</v>
      </c>
      <c r="AB190" s="174">
        <f t="shared" si="85"/>
        <v>114811225</v>
      </c>
      <c r="AD190" s="701">
        <f t="shared" si="86"/>
        <v>27.657679504180528</v>
      </c>
      <c r="AE190" s="702">
        <f t="shared" si="87"/>
        <v>-10.136106260111969</v>
      </c>
      <c r="AG190" s="701">
        <f t="shared" si="88"/>
        <v>6.6827732229137462</v>
      </c>
      <c r="AH190" s="702">
        <f t="shared" si="89"/>
        <v>-79.121974937434416</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5">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1.0010505627150168</v>
      </c>
      <c r="N191" s="694">
        <f t="shared" si="74"/>
        <v>-4.5817983451313209E-2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8.7907528259212757</v>
      </c>
      <c r="X191" s="699">
        <f t="shared" si="82"/>
        <v>-104.7091561120745</v>
      </c>
      <c r="Y191" s="702">
        <f t="shared" si="83"/>
        <v>75.290843887925504</v>
      </c>
      <c r="AA191" s="174">
        <f t="shared" si="84"/>
        <v>1000000000</v>
      </c>
      <c r="AB191" s="174">
        <f t="shared" si="85"/>
        <v>116154506.25</v>
      </c>
      <c r="AD191" s="701">
        <f t="shared" si="86"/>
        <v>27.656774580991183</v>
      </c>
      <c r="AE191" s="702">
        <f t="shared" si="87"/>
        <v>-10.113560697308673</v>
      </c>
      <c r="AG191" s="701">
        <f t="shared" si="88"/>
        <v>6.6334198304860958</v>
      </c>
      <c r="AH191" s="702">
        <f t="shared" si="89"/>
        <v>-79.122136835453261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5">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1.0010627762339173</v>
      </c>
      <c r="N192" s="694">
        <f t="shared" si="74"/>
        <v>-4.6083312431052209E-2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8.7395856328684811</v>
      </c>
      <c r="X192" s="699">
        <f t="shared" si="82"/>
        <v>-104.77607261757771</v>
      </c>
      <c r="Y192" s="702">
        <f t="shared" si="83"/>
        <v>75.223927382422289</v>
      </c>
      <c r="AA192" s="174">
        <f t="shared" si="84"/>
        <v>1000000000</v>
      </c>
      <c r="AB192" s="174">
        <f t="shared" si="85"/>
        <v>117505600</v>
      </c>
      <c r="AD192" s="701">
        <f t="shared" si="86"/>
        <v>27.655881751686668</v>
      </c>
      <c r="AE192" s="702">
        <f t="shared" si="87"/>
        <v>-10.09147453781631</v>
      </c>
      <c r="AG192" s="701">
        <f t="shared" si="88"/>
        <v>6.5843547789402779</v>
      </c>
      <c r="AH192" s="702">
        <f t="shared" si="89"/>
        <v>-79.121942974515505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5">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1.0010750602253817</v>
      </c>
      <c r="N193" s="694">
        <f t="shared" si="74"/>
        <v>-4.6348634917871903E-2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8.688708562824619</v>
      </c>
      <c r="X193" s="699">
        <f t="shared" si="82"/>
        <v>-104.84308194349286</v>
      </c>
      <c r="Y193" s="702">
        <f t="shared" si="83"/>
        <v>75.156918056507138</v>
      </c>
      <c r="AA193" s="174">
        <f t="shared" si="84"/>
        <v>1000000000</v>
      </c>
      <c r="AB193" s="174">
        <f t="shared" si="85"/>
        <v>118864506.25</v>
      </c>
      <c r="AD193" s="701">
        <f t="shared" si="86"/>
        <v>27.655000724011774</v>
      </c>
      <c r="AE193" s="702">
        <f t="shared" si="87"/>
        <v>-10.069840022121074</v>
      </c>
      <c r="AG193" s="701">
        <f t="shared" si="88"/>
        <v>6.5355748853689004</v>
      </c>
      <c r="AH193" s="702">
        <f t="shared" si="89"/>
        <v>-79.121399495496249</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5">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1.0010874146868158</v>
      </c>
      <c r="N194" s="694">
        <f t="shared" si="74"/>
        <v>-4.6613950874656709E-2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8.6381182040711124</v>
      </c>
      <c r="X194" s="699">
        <f t="shared" si="82"/>
        <v>-104.91018245576269</v>
      </c>
      <c r="Y194" s="702">
        <f t="shared" si="83"/>
        <v>75.089817544237306</v>
      </c>
      <c r="AA194" s="174">
        <f t="shared" si="84"/>
        <v>1000000000</v>
      </c>
      <c r="AB194" s="174">
        <f t="shared" si="85"/>
        <v>120231225</v>
      </c>
      <c r="AD194" s="701">
        <f t="shared" si="86"/>
        <v>27.654131213899259</v>
      </c>
      <c r="AE194" s="702">
        <f t="shared" si="87"/>
        <v>-10.048649563236371</v>
      </c>
      <c r="AG194" s="701">
        <f t="shared" si="88"/>
        <v>6.4870770194642002</v>
      </c>
      <c r="AH194" s="702">
        <f t="shared" si="89"/>
        <v>-79.120512401805982</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5">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1.0011000888329356</v>
      </c>
      <c r="N195" s="694">
        <f t="shared" si="74"/>
        <v>-4.6884566384849613E-2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8.5868079318199371</v>
      </c>
      <c r="X195" s="699">
        <f t="shared" si="82"/>
        <v>-104.97871725945792</v>
      </c>
      <c r="Y195" s="702">
        <f t="shared" si="83"/>
        <v>75.021282740542077</v>
      </c>
      <c r="AA195" s="174">
        <f t="shared" si="84"/>
        <v>1000000000</v>
      </c>
      <c r="AB195" s="174">
        <f t="shared" si="85"/>
        <v>121633326.5625</v>
      </c>
      <c r="AD195" s="701">
        <f t="shared" si="86"/>
        <v>27.653255892628511</v>
      </c>
      <c r="AE195" s="702">
        <f t="shared" si="87"/>
        <v>-10.027485069129687</v>
      </c>
      <c r="AG195" s="701">
        <f t="shared" si="88"/>
        <v>6.4378965484285313</v>
      </c>
      <c r="AH195" s="702">
        <f t="shared" si="89"/>
        <v>-79.119259661083575</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5">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1.0011128362905126</v>
      </c>
      <c r="N196" s="694">
        <f t="shared" si="74"/>
        <v>-4.715517502320931E-2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8.5357889710755117</v>
      </c>
      <c r="X196" s="699">
        <f t="shared" si="82"/>
        <v>-105.04734360692623</v>
      </c>
      <c r="Y196" s="702">
        <f t="shared" si="83"/>
        <v>74.952656393073767</v>
      </c>
      <c r="AA196" s="174">
        <f t="shared" si="84"/>
        <v>1000000000</v>
      </c>
      <c r="AB196" s="174">
        <f t="shared" si="85"/>
        <v>123043556.25</v>
      </c>
      <c r="AD196" s="701">
        <f t="shared" si="86"/>
        <v>27.65239198209207</v>
      </c>
      <c r="AE196" s="702">
        <f t="shared" si="87"/>
        <v>-10.006767154898537</v>
      </c>
      <c r="AG196" s="701">
        <f t="shared" si="88"/>
        <v>6.3890030825672381</v>
      </c>
      <c r="AH196" s="702">
        <f t="shared" si="89"/>
        <v>-79.117661619930814</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5">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1.0011256570567468</v>
      </c>
      <c r="N197" s="694">
        <f t="shared" si="74"/>
        <v>-4.7425776750366258E-2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8.4850578878033289</v>
      </c>
      <c r="X197" s="699">
        <f t="shared" si="82"/>
        <v>-105.11605987113282</v>
      </c>
      <c r="Y197" s="702">
        <f t="shared" si="83"/>
        <v>74.883940128867181</v>
      </c>
      <c r="AA197" s="174">
        <f t="shared" si="84"/>
        <v>1000000000</v>
      </c>
      <c r="AB197" s="174">
        <f t="shared" si="85"/>
        <v>124461914.0625</v>
      </c>
      <c r="AD197" s="701">
        <f t="shared" si="86"/>
        <v>27.651539205439256</v>
      </c>
      <c r="AE197" s="702">
        <f t="shared" si="87"/>
        <v>-9.986488293821921</v>
      </c>
      <c r="AG197" s="701">
        <f t="shared" si="88"/>
        <v>6.3403934618319973</v>
      </c>
      <c r="AH197" s="702">
        <f t="shared" si="89"/>
        <v>-79.115724231464114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5">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1.0011385511288216</v>
      </c>
      <c r="N198" s="694">
        <f t="shared" si="74"/>
        <v>-4.7696371526956959E-2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8.4346113078612071</v>
      </c>
      <c r="X198" s="699">
        <f t="shared" si="82"/>
        <v>-105.18486445920463</v>
      </c>
      <c r="Y198" s="702">
        <f t="shared" si="83"/>
        <v>74.815135540795367</v>
      </c>
      <c r="AA198" s="174">
        <f t="shared" si="84"/>
        <v>1000000000</v>
      </c>
      <c r="AB198" s="174">
        <f t="shared" si="85"/>
        <v>125888400</v>
      </c>
      <c r="AD198" s="701">
        <f t="shared" si="86"/>
        <v>27.650697293556576</v>
      </c>
      <c r="AE198" s="702">
        <f t="shared" si="87"/>
        <v>-9.9666411261759524</v>
      </c>
      <c r="AG198" s="701">
        <f t="shared" si="88"/>
        <v>6.2920645783147213</v>
      </c>
      <c r="AH198" s="702">
        <f t="shared" si="89"/>
        <v>-79.113453315916047</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5">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1.0011518755047752</v>
      </c>
      <c r="N199" s="694">
        <f t="shared" si="74"/>
        <v>-4.7974387114701318E-2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8.383072760610851</v>
      </c>
      <c r="X199" s="699">
        <f t="shared" si="82"/>
        <v>-105.25564815564027</v>
      </c>
      <c r="Y199" s="702">
        <f t="shared" si="83"/>
        <v>74.744351844359727</v>
      </c>
      <c r="AA199" s="174">
        <f t="shared" si="84"/>
        <v>1000000000</v>
      </c>
      <c r="AB199" s="174">
        <f t="shared" si="85"/>
        <v>127362510.25</v>
      </c>
      <c r="AD199" s="701">
        <f t="shared" si="86"/>
        <v>27.649843311657616</v>
      </c>
      <c r="AE199" s="702">
        <f t="shared" si="87"/>
        <v>-9.9466912021816647</v>
      </c>
      <c r="AG199" s="701">
        <f t="shared" si="88"/>
        <v>6.2426982096296637</v>
      </c>
      <c r="AH199" s="702">
        <f t="shared" si="89"/>
        <v>-79.110778656142983</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5">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1.0011652772603643</v>
      </c>
      <c r="N200" s="694">
        <f t="shared" si="74"/>
        <v>-4.8252395280812564E-2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8.3318275175489642</v>
      </c>
      <c r="X200" s="699">
        <f t="shared" si="82"/>
        <v>-105.32652178940813</v>
      </c>
      <c r="Y200" s="702">
        <f t="shared" si="83"/>
        <v>74.673478210591867</v>
      </c>
      <c r="AA200" s="174">
        <f t="shared" si="84"/>
        <v>1000000000</v>
      </c>
      <c r="AB200" s="174">
        <f t="shared" si="85"/>
        <v>128845201</v>
      </c>
      <c r="AD200" s="701">
        <f t="shared" si="86"/>
        <v>27.649000247225469</v>
      </c>
      <c r="AE200" s="702">
        <f t="shared" si="87"/>
        <v>-9.9271817678076815</v>
      </c>
      <c r="AG200" s="701">
        <f t="shared" si="88"/>
        <v>6.1936217151916795</v>
      </c>
      <c r="AH200" s="702">
        <f t="shared" si="89"/>
        <v>-79.107763948450724</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5">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1.0011787563924812</v>
      </c>
      <c r="N201" s="694">
        <f t="shared" si="74"/>
        <v>-4.8530395982615937E-2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8.2808721074424945</v>
      </c>
      <c r="X201" s="699">
        <f t="shared" si="82"/>
        <v>-105.39748373965648</v>
      </c>
      <c r="Y201" s="702">
        <f t="shared" si="83"/>
        <v>74.602516260343521</v>
      </c>
      <c r="AA201" s="174">
        <f t="shared" si="84"/>
        <v>1000000000</v>
      </c>
      <c r="AB201" s="174">
        <f t="shared" si="85"/>
        <v>130336472.25</v>
      </c>
      <c r="AD201" s="701">
        <f t="shared" si="86"/>
        <v>27.648167832219677</v>
      </c>
      <c r="AE201" s="702">
        <f t="shared" si="87"/>
        <v>-9.9081053613689356</v>
      </c>
      <c r="AG201" s="701">
        <f t="shared" si="88"/>
        <v>6.1448318886352284</v>
      </c>
      <c r="AH201" s="702">
        <f t="shared" si="89"/>
        <v>-79.104415091412648</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5">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1.0011923128980009</v>
      </c>
      <c r="N202" s="694">
        <f t="shared" si="74"/>
        <v>-4.880838917744354E-2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8.2302031198006418</v>
      </c>
      <c r="X202" s="699">
        <f t="shared" si="82"/>
        <v>-105.46853241974286</v>
      </c>
      <c r="Y202" s="702">
        <f t="shared" si="83"/>
        <v>74.531467580257143</v>
      </c>
      <c r="AA202" s="174">
        <f t="shared" si="84"/>
        <v>1000000000</v>
      </c>
      <c r="AB202" s="174">
        <f t="shared" si="85"/>
        <v>131836324</v>
      </c>
      <c r="AD202" s="701">
        <f t="shared" si="86"/>
        <v>27.647345806125788</v>
      </c>
      <c r="AE202" s="702">
        <f t="shared" si="87"/>
        <v>-9.8894546875667544</v>
      </c>
      <c r="AG202" s="701">
        <f t="shared" si="88"/>
        <v>6.0963255767940483</v>
      </c>
      <c r="AH202" s="702">
        <f t="shared" si="89"/>
        <v>-79.100737851370866</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5">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1.0012062077145838</v>
      </c>
      <c r="N203" s="694">
        <f t="shared" si="74"/>
        <v>-4.9091679818506692E-2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8.1788583711382632</v>
      </c>
      <c r="X203" s="699">
        <f t="shared" si="82"/>
        <v>-105.54102461093694</v>
      </c>
      <c r="Y203" s="702">
        <f t="shared" si="83"/>
        <v>74.458975389063056</v>
      </c>
      <c r="AA203" s="174">
        <f t="shared" si="84"/>
        <v>1000000000</v>
      </c>
      <c r="AB203" s="174">
        <f t="shared" si="85"/>
        <v>133373626.5625</v>
      </c>
      <c r="AD203" s="701">
        <f t="shared" si="86"/>
        <v>27.646518518549648</v>
      </c>
      <c r="AE203" s="702">
        <f t="shared" si="87"/>
        <v>-9.8708786971276954</v>
      </c>
      <c r="AG203" s="701">
        <f t="shared" si="88"/>
        <v>6.0471820436928523</v>
      </c>
      <c r="AH203" s="702">
        <f t="shared" si="89"/>
        <v>-79.096658428403842</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5">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1.0012201828793224</v>
      </c>
      <c r="N204" s="694">
        <f t="shared" si="74"/>
        <v>-4.9374962573886731E-2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8.1278041165207267</v>
      </c>
      <c r="X204" s="699">
        <f t="shared" si="82"/>
        <v>-105.61360365143969</v>
      </c>
      <c r="Y204" s="702">
        <f t="shared" si="83"/>
        <v>74.386396348560311</v>
      </c>
      <c r="AA204" s="174">
        <f t="shared" si="84"/>
        <v>1000000000</v>
      </c>
      <c r="AB204" s="174">
        <f t="shared" si="85"/>
        <v>134919840.25</v>
      </c>
      <c r="AD204" s="701">
        <f t="shared" si="86"/>
        <v>27.645701496713123</v>
      </c>
      <c r="AE204" s="702">
        <f t="shared" si="87"/>
        <v>-9.8527300541836134</v>
      </c>
      <c r="AG204" s="701">
        <f t="shared" si="88"/>
        <v>5.9983265015831009</v>
      </c>
      <c r="AH204" s="702">
        <f t="shared" si="89"/>
        <v>-79.092249657034174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5">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1.0012342383888526</v>
      </c>
      <c r="N205" s="694">
        <f t="shared" ref="N205:N268" si="110">-ATAN(G205/z_RHP)</f>
        <v>-4.9658237398448435E-2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8.0770369322015618</v>
      </c>
      <c r="X205" s="699">
        <f t="shared" ref="X205:X268" si="116">((L205+R205+N205+V205)-(J205+P205+T205))*radconv</f>
        <v>-105.68626796596301</v>
      </c>
      <c r="Y205" s="702">
        <f t="shared" ref="Y205:Y268" si="117">IF(X205&gt;0,X205,X205+180)</f>
        <v>74.313732034036988</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5.9497557764636699</v>
      </c>
      <c r="AH205" s="702">
        <f t="shared" ref="AH205:AH268" si="123">(L205+N205-(J205+V205))*radconv</f>
        <v>-79.087517239539736</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5">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1.0012483742397904</v>
      </c>
      <c r="N206" s="694">
        <f t="shared" si="110"/>
        <v>-4.99415042470642E-2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8.0265534540608279</v>
      </c>
      <c r="X206" s="699">
        <f t="shared" si="116"/>
        <v>-105.75901601236218</v>
      </c>
      <c r="Y206" s="702">
        <f t="shared" si="117"/>
        <v>74.240983987637819</v>
      </c>
      <c r="AA206" s="174">
        <f t="shared" si="118"/>
        <v>1000000000</v>
      </c>
      <c r="AB206" s="174">
        <f t="shared" si="119"/>
        <v>138039001</v>
      </c>
      <c r="AD206" s="701">
        <f t="shared" si="120"/>
        <v>27.644097244643</v>
      </c>
      <c r="AE206" s="702">
        <f t="shared" si="121"/>
        <v>-9.8176861044377244</v>
      </c>
      <c r="AG206" s="701">
        <f t="shared" si="122"/>
        <v>5.9014667468577873</v>
      </c>
      <c r="AH206" s="702">
        <f t="shared" si="123"/>
        <v>-79.082466750859183</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5">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1.0012629642185051</v>
      </c>
      <c r="N207" s="694">
        <f t="shared" si="110"/>
        <v>-5.023218922769896E-2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7.9750379330459911</v>
      </c>
      <c r="X207" s="699">
        <f t="shared" si="116"/>
        <v>-105.83375678111838</v>
      </c>
      <c r="Y207" s="702">
        <f t="shared" si="117"/>
        <v>74.166243218881618</v>
      </c>
      <c r="AA207" s="174">
        <f t="shared" si="118"/>
        <v>1000000000</v>
      </c>
      <c r="AB207" s="174">
        <f t="shared" si="119"/>
        <v>139653306.25</v>
      </c>
      <c r="AD207" s="701">
        <f t="shared" si="120"/>
        <v>27.643289003392859</v>
      </c>
      <c r="AE207" s="702">
        <f t="shared" si="121"/>
        <v>-9.8003389294098735</v>
      </c>
      <c r="AG207" s="701">
        <f t="shared" si="122"/>
        <v>5.852201363535424</v>
      </c>
      <c r="AH207" s="702">
        <f t="shared" si="123"/>
        <v>-79.076958879528959</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5">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1.0012776387992262</v>
      </c>
      <c r="N208" s="694">
        <f t="shared" si="110"/>
        <v>-5.052286571242029E-2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7.9238141974977152</v>
      </c>
      <c r="X208" s="699">
        <f t="shared" si="116"/>
        <v>-105.90858254241915</v>
      </c>
      <c r="Y208" s="702">
        <f t="shared" si="117"/>
        <v>74.091417457580846</v>
      </c>
      <c r="AA208" s="174">
        <f t="shared" si="118"/>
        <v>1000000000</v>
      </c>
      <c r="AB208" s="174">
        <f t="shared" si="119"/>
        <v>141276996</v>
      </c>
      <c r="AD208" s="701">
        <f t="shared" si="120"/>
        <v>27.642490544199458</v>
      </c>
      <c r="AE208" s="702">
        <f t="shared" si="121"/>
        <v>-9.7834122148084859</v>
      </c>
      <c r="AG208" s="701">
        <f t="shared" si="122"/>
        <v>5.8032261440198427</v>
      </c>
      <c r="AH208" s="702">
        <f t="shared" si="123"/>
        <v>-79.071127540125502</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5">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1.0012923979782329</v>
      </c>
      <c r="N209" s="694">
        <f t="shared" si="110"/>
        <v>-5.081353365248268E-2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7.8728787985759707</v>
      </c>
      <c r="X209" s="699">
        <f t="shared" si="116"/>
        <v>-105.98349173279722</v>
      </c>
      <c r="Y209" s="702">
        <f t="shared" si="117"/>
        <v>74.016508267202781</v>
      </c>
      <c r="AA209" s="174">
        <f t="shared" si="118"/>
        <v>1000000000</v>
      </c>
      <c r="AB209" s="174">
        <f t="shared" si="119"/>
        <v>142910070.25</v>
      </c>
      <c r="AD209" s="701">
        <f t="shared" si="120"/>
        <v>27.641701622849023</v>
      </c>
      <c r="AE209" s="702">
        <f t="shared" si="121"/>
        <v>-9.7668988329557944</v>
      </c>
      <c r="AG209" s="701">
        <f t="shared" si="122"/>
        <v>5.7545378799001492</v>
      </c>
      <c r="AH209" s="702">
        <f t="shared" si="123"/>
        <v>-79.064978362383812</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5">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1.001307241751785</v>
      </c>
      <c r="N210" s="694">
        <f t="shared" si="110"/>
        <v>-5.1104192999149221E-2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7.8222283476364662</v>
      </c>
      <c r="X210" s="699">
        <f t="shared" si="116"/>
        <v>-106.05848282179318</v>
      </c>
      <c r="Y210" s="702">
        <f t="shared" si="117"/>
        <v>73.941517178206823</v>
      </c>
      <c r="AA210" s="174">
        <f t="shared" si="118"/>
        <v>1000000000</v>
      </c>
      <c r="AB210" s="174">
        <f t="shared" si="119"/>
        <v>144552529</v>
      </c>
      <c r="AD210" s="701">
        <f t="shared" si="120"/>
        <v>27.640922001985196</v>
      </c>
      <c r="AE210" s="702">
        <f t="shared" si="121"/>
        <v>-9.7507918152108228</v>
      </c>
      <c r="AG210" s="701">
        <f t="shared" si="122"/>
        <v>5.7061334160839339</v>
      </c>
      <c r="AH210" s="702">
        <f t="shared" si="123"/>
        <v>-79.058516849943558</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5">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1.0013224979610387</v>
      </c>
      <c r="N211" s="694">
        <f t="shared" si="110"/>
        <v>-5.140120822059862E-2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7.7707596738426119</v>
      </c>
      <c r="X211" s="699">
        <f t="shared" si="116"/>
        <v>-106.13519910075814</v>
      </c>
      <c r="Y211" s="702">
        <f t="shared" si="117"/>
        <v>73.864800899241857</v>
      </c>
      <c r="AA211" s="174">
        <f t="shared" si="118"/>
        <v>1000000000</v>
      </c>
      <c r="AB211" s="174">
        <f t="shared" si="119"/>
        <v>146240649</v>
      </c>
      <c r="AD211" s="701">
        <f t="shared" si="120"/>
        <v>27.640134677273327</v>
      </c>
      <c r="AE211" s="702">
        <f t="shared" si="121"/>
        <v>-9.7347448083383608</v>
      </c>
      <c r="AG211" s="701">
        <f t="shared" si="122"/>
        <v>5.6569589620471108</v>
      </c>
      <c r="AH211" s="702">
        <f t="shared" si="123"/>
        <v>-79.051596774774936</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5">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1.0013378425023058</v>
      </c>
      <c r="N212" s="694">
        <f t="shared" si="110"/>
        <v>-5.1698214365302309E-2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7.7195815956277496</v>
      </c>
      <c r="X212" s="699">
        <f t="shared" si="116"/>
        <v>-106.21199777468013</v>
      </c>
      <c r="Y212" s="702">
        <f t="shared" si="117"/>
        <v>73.788002225319872</v>
      </c>
      <c r="AA212" s="174">
        <f t="shared" si="118"/>
        <v>1000000000</v>
      </c>
      <c r="AB212" s="174">
        <f t="shared" si="119"/>
        <v>147938569</v>
      </c>
      <c r="AD212" s="701">
        <f t="shared" si="120"/>
        <v>27.639356584600215</v>
      </c>
      <c r="AE212" s="702">
        <f t="shared" si="121"/>
        <v>-9.7191079329757706</v>
      </c>
      <c r="AG212" s="701">
        <f t="shared" si="122"/>
        <v>5.6080743772289754</v>
      </c>
      <c r="AH212" s="702">
        <f t="shared" si="123"/>
        <v>-79.044361768925782</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5">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1.001353275371526</v>
      </c>
      <c r="N213" s="694">
        <f t="shared" si="110"/>
        <v>-5.1995211381279376E-2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7.6686906827083279</v>
      </c>
      <c r="X213" s="699">
        <f t="shared" si="116"/>
        <v>-106.28887731156921</v>
      </c>
      <c r="Y213" s="702">
        <f t="shared" si="117"/>
        <v>73.711122688430791</v>
      </c>
      <c r="AA213" s="174">
        <f t="shared" si="118"/>
        <v>1000000000</v>
      </c>
      <c r="AB213" s="174">
        <f t="shared" si="119"/>
        <v>149646289</v>
      </c>
      <c r="AD213" s="701">
        <f t="shared" si="120"/>
        <v>27.638587491408735</v>
      </c>
      <c r="AE213" s="702">
        <f t="shared" si="121"/>
        <v>-9.7038742392327819</v>
      </c>
      <c r="AG213" s="701">
        <f t="shared" si="122"/>
        <v>5.5594764597791455</v>
      </c>
      <c r="AH213" s="702">
        <f t="shared" si="123"/>
        <v>-79.036817319926683</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5">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1.0013687965646154</v>
      </c>
      <c r="N214" s="694">
        <f t="shared" si="110"/>
        <v>-5.2292199216558546E-2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7.6180835645543947</v>
      </c>
      <c r="X214" s="699">
        <f t="shared" si="116"/>
        <v>-106.36583621174671</v>
      </c>
      <c r="Y214" s="702">
        <f t="shared" si="117"/>
        <v>73.634163788253289</v>
      </c>
      <c r="AA214" s="174">
        <f t="shared" si="118"/>
        <v>1000000000</v>
      </c>
      <c r="AB214" s="174">
        <f t="shared" si="119"/>
        <v>151363809</v>
      </c>
      <c r="AD214" s="701">
        <f t="shared" si="120"/>
        <v>27.637827171667141</v>
      </c>
      <c r="AE214" s="702">
        <f t="shared" si="121"/>
        <v>-9.6890369322121863</v>
      </c>
      <c r="AG214" s="701">
        <f t="shared" si="122"/>
        <v>5.5111620610543257</v>
      </c>
      <c r="AH214" s="702">
        <f t="shared" si="123"/>
        <v>-79.028968792551154</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5">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1.0013847415335582</v>
      </c>
      <c r="N215" s="694">
        <f t="shared" si="110"/>
        <v>-5.2595541544953009E-2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7.5666815465649648</v>
      </c>
      <c r="X215" s="699">
        <f t="shared" si="116"/>
        <v>-106.44452463727472</v>
      </c>
      <c r="Y215" s="702">
        <f t="shared" si="117"/>
        <v>73.555475362725275</v>
      </c>
      <c r="AA215" s="174">
        <f t="shared" si="118"/>
        <v>1000000000</v>
      </c>
      <c r="AB215" s="174">
        <f t="shared" si="119"/>
        <v>153128250.25</v>
      </c>
      <c r="AD215" s="701">
        <f t="shared" si="120"/>
        <v>27.637059388404218</v>
      </c>
      <c r="AE215" s="702">
        <f t="shared" si="121"/>
        <v>-9.6742839941802021</v>
      </c>
      <c r="AG215" s="701">
        <f t="shared" si="122"/>
        <v>5.4621018313103615</v>
      </c>
      <c r="AH215" s="702">
        <f t="shared" si="123"/>
        <v>-79.020643613585179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5">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1.0014007786435488</v>
      </c>
      <c r="N216" s="694">
        <f t="shared" si="110"/>
        <v>-5.2898874185399541E-2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7.5155686926046563</v>
      </c>
      <c r="X216" s="699">
        <f t="shared" si="116"/>
        <v>-106.52329280043023</v>
      </c>
      <c r="Y216" s="702">
        <f t="shared" si="117"/>
        <v>73.476707199569773</v>
      </c>
      <c r="AA216" s="174">
        <f t="shared" si="118"/>
        <v>1000000000</v>
      </c>
      <c r="AB216" s="174">
        <f t="shared" si="119"/>
        <v>154902916</v>
      </c>
      <c r="AD216" s="701">
        <f t="shared" si="120"/>
        <v>27.636300301817336</v>
      </c>
      <c r="AE216" s="702">
        <f t="shared" si="121"/>
        <v>-9.6599307587404049</v>
      </c>
      <c r="AG216" s="701">
        <f t="shared" si="122"/>
        <v>5.4133309255947895</v>
      </c>
      <c r="AH216" s="702">
        <f t="shared" si="123"/>
        <v>-79.012012121891246</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5">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1.0014169078901611</v>
      </c>
      <c r="N217" s="694">
        <f t="shared" si="110"/>
        <v>-5.3202197082545269E-2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7.4647415950315201</v>
      </c>
      <c r="X217" s="699">
        <f t="shared" si="116"/>
        <v>-106.60213920196924</v>
      </c>
      <c r="Y217" s="702">
        <f t="shared" si="117"/>
        <v>73.397860798030763</v>
      </c>
      <c r="AA217" s="174">
        <f t="shared" si="118"/>
        <v>1000000000</v>
      </c>
      <c r="AB217" s="174">
        <f t="shared" si="119"/>
        <v>156687806.25</v>
      </c>
      <c r="AD217" s="701">
        <f t="shared" si="120"/>
        <v>27.635549690731942</v>
      </c>
      <c r="AE217" s="702">
        <f t="shared" si="121"/>
        <v>-9.6459704582711971</v>
      </c>
      <c r="AG217" s="701">
        <f t="shared" si="122"/>
        <v>5.3648461529536249</v>
      </c>
      <c r="AH217" s="702">
        <f t="shared" si="123"/>
        <v>-79.003079659722786</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5">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1.0014331292689425</v>
      </c>
      <c r="N218" s="694">
        <f t="shared" si="110"/>
        <v>-5.3505510181047995E-2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7.4141969054227896</v>
      </c>
      <c r="X218" s="699">
        <f t="shared" si="116"/>
        <v>-106.68106237421391</v>
      </c>
      <c r="Y218" s="702">
        <f t="shared" si="117"/>
        <v>73.318937625786091</v>
      </c>
      <c r="AA218" s="174">
        <f t="shared" si="118"/>
        <v>1000000000</v>
      </c>
      <c r="AB218" s="174">
        <f t="shared" si="119"/>
        <v>158482921</v>
      </c>
      <c r="AD218" s="701">
        <f t="shared" si="120"/>
        <v>27.634807340172308</v>
      </c>
      <c r="AE218" s="702">
        <f t="shared" si="121"/>
        <v>-9.6323964759341543</v>
      </c>
      <c r="AG218" s="701">
        <f t="shared" si="122"/>
        <v>5.3166443754300907</v>
      </c>
      <c r="AH218" s="702">
        <f t="shared" si="123"/>
        <v>-78.993851450032849</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5">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1.0014498432120367</v>
      </c>
      <c r="N219" s="694">
        <f t="shared" si="110"/>
        <v>-5.381623680755112E-2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7.3627045288636586</v>
      </c>
      <c r="X219" s="699">
        <f t="shared" si="116"/>
        <v>-106.76199534259629</v>
      </c>
      <c r="Y219" s="702">
        <f t="shared" si="117"/>
        <v>73.238004657403707</v>
      </c>
      <c r="AA219" s="174">
        <f t="shared" si="118"/>
        <v>1000000000</v>
      </c>
      <c r="AB219" s="174">
        <f t="shared" si="119"/>
        <v>160332575.0625</v>
      </c>
      <c r="AD219" s="701">
        <f t="shared" si="120"/>
        <v>27.63405516801495</v>
      </c>
      <c r="AE219" s="702">
        <f t="shared" si="121"/>
        <v>-9.6188841165890668</v>
      </c>
      <c r="AG219" s="701">
        <f t="shared" si="122"/>
        <v>5.2675530775541688</v>
      </c>
      <c r="AH219" s="702">
        <f t="shared" si="123"/>
        <v>-78.98409601958214</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5">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1.0014666538429182</v>
      </c>
      <c r="N220" s="694">
        <f t="shared" si="110"/>
        <v>-5.4126953032331851E-2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7.3115016235953583</v>
      </c>
      <c r="X220" s="699">
        <f t="shared" si="116"/>
        <v>-106.84300586513803</v>
      </c>
      <c r="Y220" s="702">
        <f t="shared" si="117"/>
        <v>73.156994134861975</v>
      </c>
      <c r="AA220" s="174">
        <f t="shared" si="118"/>
        <v>1000000000</v>
      </c>
      <c r="AB220" s="174">
        <f t="shared" si="119"/>
        <v>162192960.25</v>
      </c>
      <c r="AD220" s="701">
        <f t="shared" si="120"/>
        <v>27.633311227975188</v>
      </c>
      <c r="AE220" s="702">
        <f t="shared" si="121"/>
        <v>-9.6057636253954737</v>
      </c>
      <c r="AG220" s="701">
        <f t="shared" si="122"/>
        <v>5.2187522952772731</v>
      </c>
      <c r="AH220" s="702">
        <f t="shared" si="123"/>
        <v>-78.974040915352091</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5">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1.0014835611567183</v>
      </c>
      <c r="N221" s="694">
        <f t="shared" si="110"/>
        <v>-5.4437658795919594E-2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7.2605847737858209</v>
      </c>
      <c r="X221" s="699">
        <f t="shared" si="116"/>
        <v>-106.92409246138119</v>
      </c>
      <c r="Y221" s="702">
        <f t="shared" si="117"/>
        <v>73.075907538618807</v>
      </c>
      <c r="AA221" s="174">
        <f t="shared" si="118"/>
        <v>1000000000</v>
      </c>
      <c r="AB221" s="174">
        <f t="shared" si="119"/>
        <v>164064076.5625</v>
      </c>
      <c r="AD221" s="701">
        <f t="shared" si="120"/>
        <v>27.632575307814822</v>
      </c>
      <c r="AE221" s="702">
        <f t="shared" si="121"/>
        <v>-9.593028353152361</v>
      </c>
      <c r="AG221" s="701">
        <f t="shared" si="122"/>
        <v>5.1702388200811731</v>
      </c>
      <c r="AH221" s="702">
        <f t="shared" si="123"/>
        <v>-78.963691385152018</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5">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1.0015005651485402</v>
      </c>
      <c r="N222" s="694">
        <f t="shared" si="110"/>
        <v>-5.4748354038855807E-2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7.2099506230016353</v>
      </c>
      <c r="X222" s="699">
        <f t="shared" si="116"/>
        <v>-107.00525368206705</v>
      </c>
      <c r="Y222" s="702">
        <f t="shared" si="117"/>
        <v>72.99474631793295</v>
      </c>
      <c r="AA222" s="174">
        <f t="shared" si="118"/>
        <v>1000000000</v>
      </c>
      <c r="AB222" s="174">
        <f t="shared" si="119"/>
        <v>165945924</v>
      </c>
      <c r="AD222" s="701">
        <f t="shared" si="120"/>
        <v>27.631847201254644</v>
      </c>
      <c r="AE222" s="702">
        <f t="shared" si="121"/>
        <v>-9.5806717990917836</v>
      </c>
      <c r="AG222" s="701">
        <f t="shared" si="122"/>
        <v>5.1220094968619989</v>
      </c>
      <c r="AH222" s="702">
        <f t="shared" si="123"/>
        <v>-78.953052559464979</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5">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1.0015181340815695</v>
      </c>
      <c r="N223" s="694">
        <f t="shared" si="110"/>
        <v>-5.5067521410437331E-2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7.158224886748938</v>
      </c>
      <c r="X223" s="699">
        <f t="shared" si="116"/>
        <v>-107.08870712656137</v>
      </c>
      <c r="Y223" s="702">
        <f t="shared" si="117"/>
        <v>72.911292873438626</v>
      </c>
      <c r="AA223" s="174">
        <f t="shared" si="118"/>
        <v>1000000000</v>
      </c>
      <c r="AB223" s="174">
        <f t="shared" si="119"/>
        <v>167890327.5625</v>
      </c>
      <c r="AD223" s="701">
        <f t="shared" si="120"/>
        <v>27.631107140508824</v>
      </c>
      <c r="AE223" s="702">
        <f t="shared" si="121"/>
        <v>-9.5683655563324876</v>
      </c>
      <c r="AG223" s="701">
        <f t="shared" si="122"/>
        <v>5.0727559674335954</v>
      </c>
      <c r="AH223" s="702">
        <f t="shared" si="123"/>
        <v>-78.941827272788089</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5">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1.0015358050334735</v>
      </c>
      <c r="N224" s="694">
        <f t="shared" si="110"/>
        <v>-5.5386677551844385E-2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7.1067905033145609</v>
      </c>
      <c r="X224" s="699">
        <f t="shared" si="116"/>
        <v>-107.1722363230527</v>
      </c>
      <c r="Y224" s="702">
        <f t="shared" si="117"/>
        <v>72.827763676947299</v>
      </c>
      <c r="AA224" s="174">
        <f t="shared" si="118"/>
        <v>1000000000</v>
      </c>
      <c r="AB224" s="174">
        <f t="shared" si="119"/>
        <v>169846056.25</v>
      </c>
      <c r="AD224" s="701">
        <f t="shared" si="120"/>
        <v>27.630374902998057</v>
      </c>
      <c r="AE224" s="702">
        <f t="shared" si="121"/>
        <v>-9.5564455500710785</v>
      </c>
      <c r="AG224" s="701">
        <f t="shared" si="122"/>
        <v>5.0237957363997925</v>
      </c>
      <c r="AH224" s="702">
        <f t="shared" si="123"/>
        <v>-78.930307287647793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5">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1.0015535779988523</v>
      </c>
      <c r="N225" s="694">
        <f t="shared" si="110"/>
        <v>-5.5705822398654216E-2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7.0556440206240714</v>
      </c>
      <c r="X225" s="699">
        <f t="shared" si="116"/>
        <v>-107.25583979772387</v>
      </c>
      <c r="Y225" s="702">
        <f t="shared" si="117"/>
        <v>72.744160202276134</v>
      </c>
      <c r="AA225" s="174">
        <f t="shared" si="118"/>
        <v>1000000000</v>
      </c>
      <c r="AB225" s="174">
        <f t="shared" si="119"/>
        <v>171813110.0625</v>
      </c>
      <c r="AD225" s="701">
        <f t="shared" si="120"/>
        <v>27.629650283434227</v>
      </c>
      <c r="AE225" s="702">
        <f t="shared" si="121"/>
        <v>-9.5449051949696653</v>
      </c>
      <c r="AG225" s="701">
        <f t="shared" si="122"/>
        <v>4.9751255515247221</v>
      </c>
      <c r="AH225" s="702">
        <f t="shared" si="123"/>
        <v>-78.918497800872416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5">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1.001571452972275</v>
      </c>
      <c r="N226" s="694">
        <f t="shared" si="110"/>
        <v>-5.6024955886457839E-2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7.0047820468319397</v>
      </c>
      <c r="X226" s="699">
        <f t="shared" si="116"/>
        <v>-107.33951610792109</v>
      </c>
      <c r="Y226" s="702">
        <f t="shared" si="117"/>
        <v>72.660483892078915</v>
      </c>
      <c r="AA226" s="174">
        <f t="shared" si="118"/>
        <v>1000000000</v>
      </c>
      <c r="AB226" s="174">
        <f t="shared" si="119"/>
        <v>173791489</v>
      </c>
      <c r="AD226" s="701">
        <f t="shared" si="120"/>
        <v>27.628933082318689</v>
      </c>
      <c r="AE226" s="702">
        <f t="shared" si="121"/>
        <v>-9.533738053370918</v>
      </c>
      <c r="AG226" s="701">
        <f t="shared" si="122"/>
        <v>4.9267422149840563</v>
      </c>
      <c r="AH226" s="702">
        <f t="shared" si="123"/>
        <v>-78.906403892664187</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5">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1.0015897893301815</v>
      </c>
      <c r="N227" s="694">
        <f t="shared" si="110"/>
        <v>-5.6350439071459563E-2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6.9531958295839846</v>
      </c>
      <c r="X227" s="699">
        <f t="shared" si="116"/>
        <v>-107.42493394788418</v>
      </c>
      <c r="Y227" s="702">
        <f t="shared" si="117"/>
        <v>72.575066052115815</v>
      </c>
      <c r="AA227" s="174">
        <f t="shared" si="118"/>
        <v>1000000000</v>
      </c>
      <c r="AB227" s="174">
        <f t="shared" si="119"/>
        <v>175820970.0625</v>
      </c>
      <c r="AD227" s="701">
        <f t="shared" si="120"/>
        <v>27.628209025532875</v>
      </c>
      <c r="AE227" s="702">
        <f t="shared" si="121"/>
        <v>-9.5227262319179253</v>
      </c>
      <c r="AG227" s="701">
        <f t="shared" si="122"/>
        <v>4.8776866482196626</v>
      </c>
      <c r="AH227" s="702">
        <f t="shared" si="123"/>
        <v>-78.893781077404867</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5">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1.0016082317919217</v>
      </c>
      <c r="N228" s="694">
        <f t="shared" si="110"/>
        <v>-5.6675910304794547E-2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6.9018986350692888</v>
      </c>
      <c r="X228" s="699">
        <f t="shared" si="116"/>
        <v>-107.51042462009819</v>
      </c>
      <c r="Y228" s="702">
        <f t="shared" si="117"/>
        <v>72.489575379901808</v>
      </c>
      <c r="AA228" s="174">
        <f t="shared" si="118"/>
        <v>1000000000</v>
      </c>
      <c r="AB228" s="174">
        <f t="shared" si="119"/>
        <v>177862232.25</v>
      </c>
      <c r="AD228" s="701">
        <f t="shared" si="120"/>
        <v>27.627492284265283</v>
      </c>
      <c r="AE228" s="702">
        <f t="shared" si="121"/>
        <v>-9.5120895757121193</v>
      </c>
      <c r="AG228" s="701">
        <f t="shared" si="122"/>
        <v>4.8289229278524326</v>
      </c>
      <c r="AH228" s="702">
        <f t="shared" si="123"/>
        <v>-78.880872706859591</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5">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1.0016267803516339</v>
      </c>
      <c r="N229" s="694">
        <f t="shared" si="110"/>
        <v>-5.7001369518169573E-2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6.8508870492889384</v>
      </c>
      <c r="X229" s="699">
        <f t="shared" si="116"/>
        <v>-107.59598668876902</v>
      </c>
      <c r="Y229" s="702">
        <f t="shared" si="117"/>
        <v>72.404013311230983</v>
      </c>
      <c r="AA229" s="174">
        <f t="shared" si="118"/>
        <v>1000000000</v>
      </c>
      <c r="AB229" s="174">
        <f t="shared" si="119"/>
        <v>179915275.5625</v>
      </c>
      <c r="AD229" s="701">
        <f t="shared" si="120"/>
        <v>27.626782664232799</v>
      </c>
      <c r="AE229" s="702">
        <f t="shared" si="121"/>
        <v>-9.50182170311923</v>
      </c>
      <c r="AG229" s="701">
        <f t="shared" si="122"/>
        <v>4.7804478282653404</v>
      </c>
      <c r="AH229" s="702">
        <f t="shared" si="123"/>
        <v>-78.867683816919765</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5">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1.0016454350034245</v>
      </c>
      <c r="N230" s="694">
        <f t="shared" si="110"/>
        <v>-5.7326816643306633E-2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6.8001577175835415</v>
      </c>
      <c r="X230" s="699">
        <f t="shared" si="116"/>
        <v>-107.6816187483368</v>
      </c>
      <c r="Y230" s="702">
        <f t="shared" si="117"/>
        <v>72.318381251663197</v>
      </c>
      <c r="AA230" s="174">
        <f t="shared" si="118"/>
        <v>1000000000</v>
      </c>
      <c r="AB230" s="174">
        <f t="shared" si="119"/>
        <v>181980100</v>
      </c>
      <c r="AD230" s="701">
        <f t="shared" si="120"/>
        <v>27.626079976616897</v>
      </c>
      <c r="AE230" s="702">
        <f t="shared" si="121"/>
        <v>-9.4919163752460882</v>
      </c>
      <c r="AG230" s="701">
        <f t="shared" si="122"/>
        <v>4.7322581776863686</v>
      </c>
      <c r="AH230" s="702">
        <f t="shared" si="123"/>
        <v>-78.854219330849205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5">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1.0016646247476162</v>
      </c>
      <c r="N231" s="694">
        <f t="shared" si="110"/>
        <v>-5.7659671810958726E-2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6.7485602362254626</v>
      </c>
      <c r="X231" s="699">
        <f t="shared" si="116"/>
        <v>-107.76927429913863</v>
      </c>
      <c r="Y231" s="702">
        <f t="shared" si="117"/>
        <v>72.23072570086137</v>
      </c>
      <c r="AA231" s="174">
        <f t="shared" si="118"/>
        <v>1000000000</v>
      </c>
      <c r="AB231" s="174">
        <f t="shared" si="119"/>
        <v>184104192.25</v>
      </c>
      <c r="AD231" s="701">
        <f t="shared" si="120"/>
        <v>27.625368246854258</v>
      </c>
      <c r="AE231" s="702">
        <f t="shared" si="121"/>
        <v>-9.4821538742043163</v>
      </c>
      <c r="AG231" s="701">
        <f t="shared" si="122"/>
        <v>4.6832617755909043</v>
      </c>
      <c r="AH231" s="702">
        <f t="shared" si="123"/>
        <v>-78.840167760144581</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5">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1.0016839254645395</v>
      </c>
      <c r="N232" s="694">
        <f t="shared" si="110"/>
        <v>-5.7992514188399222E-2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6.6972511125977086</v>
      </c>
      <c r="X232" s="699">
        <f t="shared" si="116"/>
        <v>-107.85700018803965</v>
      </c>
      <c r="Y232" s="702">
        <f t="shared" si="117"/>
        <v>72.142999811960351</v>
      </c>
      <c r="AA232" s="174">
        <f t="shared" si="118"/>
        <v>1000000000</v>
      </c>
      <c r="AB232" s="174">
        <f t="shared" si="119"/>
        <v>186240609</v>
      </c>
      <c r="AD232" s="701">
        <f t="shared" si="120"/>
        <v>27.624663386410564</v>
      </c>
      <c r="AE232" s="702">
        <f t="shared" si="121"/>
        <v>-9.4727578774577808</v>
      </c>
      <c r="AG232" s="701">
        <f t="shared" si="122"/>
        <v>4.6345574437086787</v>
      </c>
      <c r="AH232" s="702">
        <f t="shared" si="123"/>
        <v>-78.825837952992046</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5">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1.0017033371477797</v>
      </c>
      <c r="N233" s="694">
        <f t="shared" si="110"/>
        <v>-5.8325343702622323E-2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6.6462269411445192</v>
      </c>
      <c r="X233" s="699">
        <f t="shared" si="116"/>
        <v>-107.94479500406759</v>
      </c>
      <c r="Y233" s="702">
        <f t="shared" si="117"/>
        <v>72.055204995932414</v>
      </c>
      <c r="AA233" s="174">
        <f t="shared" si="118"/>
        <v>1000000000</v>
      </c>
      <c r="AB233" s="174">
        <f t="shared" si="119"/>
        <v>188389350.25</v>
      </c>
      <c r="AD233" s="701">
        <f t="shared" si="120"/>
        <v>27.623965209828029</v>
      </c>
      <c r="AE233" s="702">
        <f t="shared" si="121"/>
        <v>-9.463722147578423</v>
      </c>
      <c r="AG233" s="701">
        <f t="shared" si="122"/>
        <v>4.5861419554984471</v>
      </c>
      <c r="AH233" s="702">
        <f t="shared" si="123"/>
        <v>-78.811234831685965</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5">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1.0017228597908856</v>
      </c>
      <c r="N234" s="694">
        <f t="shared" si="110"/>
        <v>-5.8658160280639304E-2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6.5954843754479233</v>
      </c>
      <c r="X234" s="699">
        <f t="shared" si="116"/>
        <v>-108.03265736591199</v>
      </c>
      <c r="Y234" s="702">
        <f t="shared" si="117"/>
        <v>71.967342634088013</v>
      </c>
      <c r="AA234" s="174">
        <f t="shared" si="118"/>
        <v>1000000000</v>
      </c>
      <c r="AB234" s="174">
        <f t="shared" si="119"/>
        <v>190550416</v>
      </c>
      <c r="AD234" s="701">
        <f t="shared" si="120"/>
        <v>27.623273536865959</v>
      </c>
      <c r="AE234" s="702">
        <f t="shared" si="121"/>
        <v>-9.4550405866784732</v>
      </c>
      <c r="AG234" s="701">
        <f t="shared" si="122"/>
        <v>4.5380121383071801</v>
      </c>
      <c r="AH234" s="702">
        <f t="shared" si="123"/>
        <v>-78.796363208509419</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5">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1.0017429323432732</v>
      </c>
      <c r="N235" s="694">
        <f t="shared" si="110"/>
        <v>-5.8998382888519087E-2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6.5438982741800968</v>
      </c>
      <c r="X235" s="699">
        <f t="shared" si="116"/>
        <v>-108.12254685589372</v>
      </c>
      <c r="Y235" s="702">
        <f t="shared" si="117"/>
        <v>71.877453144106283</v>
      </c>
      <c r="AA235" s="174">
        <f t="shared" si="118"/>
        <v>1000000000</v>
      </c>
      <c r="AB235" s="174">
        <f t="shared" si="119"/>
        <v>192772398.0625</v>
      </c>
      <c r="AD235" s="701">
        <f t="shared" si="120"/>
        <v>27.622572984739698</v>
      </c>
      <c r="AE235" s="702">
        <f t="shared" si="121"/>
        <v>-9.4465253799101276</v>
      </c>
      <c r="AG235" s="701">
        <f t="shared" si="122"/>
        <v>4.4891014093832675</v>
      </c>
      <c r="AH235" s="702">
        <f t="shared" si="123"/>
        <v>-78.780887404573676</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5">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1.001763120844176</v>
      </c>
      <c r="N236" s="694">
        <f t="shared" si="110"/>
        <v>-5.933859182278603E-2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6.4925995850526093</v>
      </c>
      <c r="X236" s="699">
        <f t="shared" si="116"/>
        <v>-108.21250410895556</v>
      </c>
      <c r="Y236" s="702">
        <f t="shared" si="117"/>
        <v>71.787495891044443</v>
      </c>
      <c r="AA236" s="174">
        <f t="shared" si="118"/>
        <v>1000000000</v>
      </c>
      <c r="AB236" s="174">
        <f t="shared" si="119"/>
        <v>195007260.25</v>
      </c>
      <c r="AD236" s="701">
        <f t="shared" si="120"/>
        <v>27.6218788644446</v>
      </c>
      <c r="AE236" s="702">
        <f t="shared" si="121"/>
        <v>-9.4383678511611198</v>
      </c>
      <c r="AG236" s="701">
        <f t="shared" si="122"/>
        <v>4.440482692337925</v>
      </c>
      <c r="AH236" s="702">
        <f t="shared" si="123"/>
        <v>-78.765140825801751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5">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1.0017834252865843</v>
      </c>
      <c r="N237" s="694">
        <f t="shared" si="110"/>
        <v>-5.9678787005516189E-2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6.4415849157308429</v>
      </c>
      <c r="X237" s="699">
        <f t="shared" si="116"/>
        <v>-108.30252774035095</v>
      </c>
      <c r="Y237" s="702">
        <f t="shared" si="117"/>
        <v>71.697472259649047</v>
      </c>
      <c r="AA237" s="174">
        <f t="shared" si="118"/>
        <v>1000000000</v>
      </c>
      <c r="AB237" s="174">
        <f t="shared" si="119"/>
        <v>197255002.5625</v>
      </c>
      <c r="AD237" s="701">
        <f t="shared" si="120"/>
        <v>27.621190999210476</v>
      </c>
      <c r="AE237" s="702">
        <f t="shared" si="121"/>
        <v>-9.4305619130254001</v>
      </c>
      <c r="AG237" s="701">
        <f t="shared" si="122"/>
        <v>4.3921527645832743</v>
      </c>
      <c r="AH237" s="702">
        <f t="shared" si="123"/>
        <v>-78.749128276674483</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5">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1.0018038456634479</v>
      </c>
      <c r="N238" s="694">
        <f t="shared" si="110"/>
        <v>-6.0018968358804659E-2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6.3908509327075071</v>
      </c>
      <c r="X238" s="699">
        <f t="shared" si="116"/>
        <v>-108.39261639437208</v>
      </c>
      <c r="Y238" s="702">
        <f t="shared" si="117"/>
        <v>71.607383605627916</v>
      </c>
      <c r="AA238" s="174">
        <f t="shared" si="118"/>
        <v>1000000000</v>
      </c>
      <c r="AB238" s="174">
        <f t="shared" si="119"/>
        <v>199515625</v>
      </c>
      <c r="AD238" s="701">
        <f t="shared" si="120"/>
        <v>27.620509217238258</v>
      </c>
      <c r="AE238" s="702">
        <f t="shared" si="121"/>
        <v>-9.4231016142346711</v>
      </c>
      <c r="AG238" s="701">
        <f t="shared" si="122"/>
        <v>4.3441084573522097</v>
      </c>
      <c r="AH238" s="702">
        <f t="shared" si="123"/>
        <v>-78.732854454426317</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5">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1.0018248952564013</v>
      </c>
      <c r="N239" s="694">
        <f t="shared" si="110"/>
        <v>-6.0367613319832626E-2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6.3391403903734469</v>
      </c>
      <c r="X239" s="699">
        <f t="shared" si="116"/>
        <v>-108.48501633331328</v>
      </c>
      <c r="Y239" s="702">
        <f t="shared" si="117"/>
        <v>71.514983666686717</v>
      </c>
      <c r="AA239" s="174">
        <f t="shared" si="118"/>
        <v>1000000000</v>
      </c>
      <c r="AB239" s="174">
        <f t="shared" si="119"/>
        <v>201845952.5625</v>
      </c>
      <c r="AD239" s="701">
        <f t="shared" si="120"/>
        <v>27.619816581679789</v>
      </c>
      <c r="AE239" s="702">
        <f t="shared" si="121"/>
        <v>-9.41580796921372</v>
      </c>
      <c r="AG239" s="701">
        <f t="shared" si="122"/>
        <v>4.2951599107187182</v>
      </c>
      <c r="AH239" s="702">
        <f t="shared" si="123"/>
        <v>-78.715908737613603</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5">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1.0018460666193598</v>
      </c>
      <c r="N240" s="694">
        <f t="shared" si="110"/>
        <v>-6.0716243587860722E-2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6.2877177922314234</v>
      </c>
      <c r="X240" s="699">
        <f t="shared" si="116"/>
        <v>-108.57748178272118</v>
      </c>
      <c r="Y240" s="702">
        <f t="shared" si="117"/>
        <v>71.422518217278821</v>
      </c>
      <c r="AA240" s="174">
        <f t="shared" si="118"/>
        <v>1000000000</v>
      </c>
      <c r="AB240" s="174">
        <f t="shared" si="119"/>
        <v>204189810.25</v>
      </c>
      <c r="AD240" s="701">
        <f t="shared" si="120"/>
        <v>27.619129986243696</v>
      </c>
      <c r="AE240" s="702">
        <f t="shared" si="121"/>
        <v>-9.4088651697058427</v>
      </c>
      <c r="AG240" s="701">
        <f t="shared" si="122"/>
        <v>4.2465048265155172</v>
      </c>
      <c r="AH240" s="702">
        <f t="shared" si="123"/>
        <v>-78.69869822133191</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5">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1.0018673597446037</v>
      </c>
      <c r="N241" s="694">
        <f t="shared" si="110"/>
        <v>-6.1064859079075946E-2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6.236579732881439</v>
      </c>
      <c r="X241" s="699">
        <f t="shared" si="116"/>
        <v>-108.67001137288446</v>
      </c>
      <c r="Y241" s="702">
        <f t="shared" si="117"/>
        <v>71.32998862711554</v>
      </c>
      <c r="AA241" s="174">
        <f t="shared" si="118"/>
        <v>1000000000</v>
      </c>
      <c r="AB241" s="174">
        <f t="shared" si="119"/>
        <v>206547198.0625</v>
      </c>
      <c r="AD241" s="701">
        <f t="shared" si="120"/>
        <v>27.618449261149681</v>
      </c>
      <c r="AE241" s="702">
        <f t="shared" si="121"/>
        <v>-9.402267229094468</v>
      </c>
      <c r="AG241" s="701">
        <f t="shared" si="122"/>
        <v>4.1981399614083212</v>
      </c>
      <c r="AH241" s="702">
        <f t="shared" si="123"/>
        <v>-78.68122763147025</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5">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1.0018887746243696</v>
      </c>
      <c r="N242" s="694">
        <f t="shared" si="110"/>
        <v>-6.141345970968675E-2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6.1857228660475485</v>
      </c>
      <c r="X242" s="699">
        <f t="shared" si="116"/>
        <v>-108.76260376280659</v>
      </c>
      <c r="Y242" s="702">
        <f t="shared" si="117"/>
        <v>71.237396237193408</v>
      </c>
      <c r="AA242" s="174">
        <f t="shared" si="118"/>
        <v>1000000000</v>
      </c>
      <c r="AB242" s="174">
        <f t="shared" si="119"/>
        <v>208918116</v>
      </c>
      <c r="AD242" s="701">
        <f t="shared" si="120"/>
        <v>27.617774241402557</v>
      </c>
      <c r="AE242" s="702">
        <f t="shared" si="121"/>
        <v>-9.3960082949349211</v>
      </c>
      <c r="AG242" s="701">
        <f t="shared" si="122"/>
        <v>4.1500621263637445</v>
      </c>
      <c r="AH242" s="702">
        <f t="shared" si="123"/>
        <v>-78.663501588296569</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5">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1.001933026014598</v>
      </c>
      <c r="N243" s="694">
        <f t="shared" si="110"/>
        <v>-6.2127567433910472E-2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6.0824001512533696</v>
      </c>
      <c r="X243" s="699">
        <f t="shared" si="116"/>
        <v>-108.95248212119748</v>
      </c>
      <c r="Y243" s="702">
        <f t="shared" si="117"/>
        <v>71.047517878802523</v>
      </c>
      <c r="AA243" s="174">
        <f t="shared" si="118"/>
        <v>1000000000</v>
      </c>
      <c r="AB243" s="174">
        <f t="shared" si="119"/>
        <v>213817506.25</v>
      </c>
      <c r="AD243" s="701">
        <f t="shared" si="120"/>
        <v>27.616408519734406</v>
      </c>
      <c r="AE243" s="702">
        <f t="shared" si="121"/>
        <v>-9.3842207034030842</v>
      </c>
      <c r="AG243" s="701">
        <f t="shared" si="122"/>
        <v>4.0524514929401239</v>
      </c>
      <c r="AH243" s="702">
        <f t="shared" si="123"/>
        <v>-78.626408653280308</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5">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1.0019553432978385</v>
      </c>
      <c r="N244" s="694">
        <f t="shared" si="110"/>
        <v>-6.2484597551046003E-2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6.031167547751469</v>
      </c>
      <c r="X244" s="699">
        <f t="shared" si="116"/>
        <v>-109.04751464555945</v>
      </c>
      <c r="Y244" s="702">
        <f t="shared" si="117"/>
        <v>70.952485354440554</v>
      </c>
      <c r="AA244" s="174">
        <f t="shared" si="118"/>
        <v>1000000000</v>
      </c>
      <c r="AB244" s="174">
        <f t="shared" si="119"/>
        <v>216288495.5625</v>
      </c>
      <c r="AD244" s="701">
        <f t="shared" si="120"/>
        <v>27.615733971826138</v>
      </c>
      <c r="AE244" s="702">
        <f t="shared" si="121"/>
        <v>-9.3788365496408108</v>
      </c>
      <c r="AG244" s="701">
        <f t="shared" si="122"/>
        <v>4.0040847504675323</v>
      </c>
      <c r="AH244" s="702">
        <f t="shared" si="123"/>
        <v>-78.607479013639235</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5">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1.0019777882951328</v>
      </c>
      <c r="N245" s="694">
        <f t="shared" si="110"/>
        <v>-6.2841611718244206E-2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5.9802162898294364</v>
      </c>
      <c r="X245" s="699">
        <f t="shared" si="116"/>
        <v>-109.1426076250022</v>
      </c>
      <c r="Y245" s="702">
        <f t="shared" si="117"/>
        <v>70.857392374997801</v>
      </c>
      <c r="AA245" s="174">
        <f t="shared" si="118"/>
        <v>1000000000</v>
      </c>
      <c r="AB245" s="174">
        <f t="shared" si="119"/>
        <v>218773681</v>
      </c>
      <c r="AD245" s="701">
        <f t="shared" si="120"/>
        <v>27.615064753475597</v>
      </c>
      <c r="AE245" s="702">
        <f t="shared" si="121"/>
        <v>-9.3737844543939879</v>
      </c>
      <c r="AG245" s="701">
        <f t="shared" si="122"/>
        <v>3.9560061015454941</v>
      </c>
      <c r="AH245" s="702">
        <f t="shared" si="123"/>
        <v>-78.588300008728922</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5">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1.0020008984001143</v>
      </c>
      <c r="N246" s="694">
        <f t="shared" si="110"/>
        <v>-6.3207084382922676E-2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5.9283435096448986</v>
      </c>
      <c r="X246" s="699">
        <f t="shared" si="116"/>
        <v>-109.24001927573065</v>
      </c>
      <c r="Y246" s="702">
        <f t="shared" si="117"/>
        <v>70.759980724269354</v>
      </c>
      <c r="AA246" s="174">
        <f t="shared" si="118"/>
        <v>1000000000</v>
      </c>
      <c r="AB246" s="174">
        <f t="shared" si="119"/>
        <v>221332567.5625</v>
      </c>
      <c r="AD246" s="701">
        <f t="shared" si="120"/>
        <v>27.614385009016193</v>
      </c>
      <c r="AE246" s="702">
        <f t="shared" si="121"/>
        <v>-9.3689505414841072</v>
      </c>
      <c r="AG246" s="701">
        <f t="shared" si="122"/>
        <v>3.9070812645533803</v>
      </c>
      <c r="AH246" s="702">
        <f t="shared" si="123"/>
        <v>-78.56841203111631</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5">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1.0020241423364411</v>
      </c>
      <c r="N247" s="694">
        <f t="shared" si="110"/>
        <v>-6.3572540140687417E-2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5.8767586642627183</v>
      </c>
      <c r="X247" s="699">
        <f t="shared" si="116"/>
        <v>-109.33749156496424</v>
      </c>
      <c r="Y247" s="702">
        <f t="shared" si="117"/>
        <v>70.662508435035761</v>
      </c>
      <c r="AA247" s="174">
        <f t="shared" si="118"/>
        <v>1000000000</v>
      </c>
      <c r="AB247" s="174">
        <f t="shared" si="119"/>
        <v>223906332.25</v>
      </c>
      <c r="AD247" s="701">
        <f t="shared" si="120"/>
        <v>27.613710528824011</v>
      </c>
      <c r="AE247" s="702">
        <f t="shared" si="121"/>
        <v>-9.3644528642590483</v>
      </c>
      <c r="AG247" s="701">
        <f t="shared" si="122"/>
        <v>3.8584517376842524</v>
      </c>
      <c r="AH247" s="702">
        <f t="shared" si="123"/>
        <v>-78.548272008753244</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5">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1.0020475200947996</v>
      </c>
      <c r="N248" s="694">
        <f t="shared" si="110"/>
        <v>-6.3937978895099334E-2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5.8254583404996261</v>
      </c>
      <c r="X248" s="699">
        <f t="shared" si="116"/>
        <v>-109.43502315924896</v>
      </c>
      <c r="Y248" s="702">
        <f t="shared" si="117"/>
        <v>70.564976840751044</v>
      </c>
      <c r="AA248" s="174">
        <f t="shared" si="118"/>
        <v>1000000000</v>
      </c>
      <c r="AB248" s="174">
        <f t="shared" si="119"/>
        <v>226494975.0625</v>
      </c>
      <c r="AD248" s="701">
        <f t="shared" si="120"/>
        <v>27.613041157196122</v>
      </c>
      <c r="AE248" s="702">
        <f t="shared" si="121"/>
        <v>-9.3602856656398412</v>
      </c>
      <c r="AG248" s="701">
        <f t="shared" si="122"/>
        <v>3.8101142542032478</v>
      </c>
      <c r="AH248" s="702">
        <f t="shared" si="123"/>
        <v>-78.527884489358186</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5">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1.0020710316658243</v>
      </c>
      <c r="N249" s="694">
        <f t="shared" si="110"/>
        <v>-6.4303400549746523E-2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5.7744391844716381</v>
      </c>
      <c r="X249" s="699">
        <f t="shared" si="116"/>
        <v>-109.53261275298934</v>
      </c>
      <c r="Y249" s="702">
        <f t="shared" si="117"/>
        <v>70.467387247010663</v>
      </c>
      <c r="AA249" s="174">
        <f t="shared" si="118"/>
        <v>1000000000</v>
      </c>
      <c r="AB249" s="174">
        <f t="shared" si="119"/>
        <v>229098496</v>
      </c>
      <c r="AD249" s="701">
        <f t="shared" si="120"/>
        <v>27.612376742829756</v>
      </c>
      <c r="AE249" s="702">
        <f t="shared" si="121"/>
        <v>-9.3564433178828121</v>
      </c>
      <c r="AG249" s="701">
        <f t="shared" si="122"/>
        <v>3.7620656022288728</v>
      </c>
      <c r="AH249" s="702">
        <f t="shared" si="123"/>
        <v>-78.507253918967706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5">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1.0020951581862136</v>
      </c>
      <c r="N250" s="694">
        <f t="shared" si="110"/>
        <v>-6.4676218833085053E-2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5.7226712204351857</v>
      </c>
      <c r="X250" s="699">
        <f t="shared" si="116"/>
        <v>-109.63224087560064</v>
      </c>
      <c r="Y250" s="702">
        <f t="shared" si="117"/>
        <v>70.367759124399356</v>
      </c>
      <c r="AA250" s="174">
        <f t="shared" si="118"/>
        <v>1000000000</v>
      </c>
      <c r="AB250" s="174">
        <f t="shared" si="119"/>
        <v>231770176</v>
      </c>
      <c r="AD250" s="701">
        <f t="shared" si="120"/>
        <v>27.611703804187968</v>
      </c>
      <c r="AE250" s="702">
        <f t="shared" si="121"/>
        <v>-9.3528521056348612</v>
      </c>
      <c r="AG250" s="701">
        <f t="shared" si="122"/>
        <v>3.7133364547990415</v>
      </c>
      <c r="AH250" s="702">
        <f t="shared" si="123"/>
        <v>-78.485958769264585</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5">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1.0021194239845708</v>
      </c>
      <c r="N251" s="694">
        <f t="shared" si="110"/>
        <v>-6.5049019113038356E-2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5.6711890787806274</v>
      </c>
      <c r="X251" s="699">
        <f t="shared" si="116"/>
        <v>-109.7319267147243</v>
      </c>
      <c r="Y251" s="702">
        <f t="shared" si="117"/>
        <v>70.268073285275705</v>
      </c>
      <c r="AA251" s="174">
        <f t="shared" si="118"/>
        <v>1000000000</v>
      </c>
      <c r="AB251" s="174">
        <f t="shared" si="119"/>
        <v>234457344</v>
      </c>
      <c r="AD251" s="701">
        <f t="shared" si="120"/>
        <v>27.611035721173558</v>
      </c>
      <c r="AE251" s="702">
        <f t="shared" si="121"/>
        <v>-9.3495876205699471</v>
      </c>
      <c r="AG251" s="701">
        <f t="shared" si="122"/>
        <v>3.6649013928071255</v>
      </c>
      <c r="AH251" s="702">
        <f t="shared" si="123"/>
        <v>-78.464419644802447</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5">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1.0021438290507783</v>
      </c>
      <c r="N252" s="694">
        <f t="shared" si="110"/>
        <v>-6.5421801287294412E-2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5.6199893794721687</v>
      </c>
      <c r="X252" s="699">
        <f t="shared" si="116"/>
        <v>-109.83166896853939</v>
      </c>
      <c r="Y252" s="702">
        <f t="shared" si="117"/>
        <v>70.16833103146061</v>
      </c>
      <c r="AA252" s="174">
        <f t="shared" si="118"/>
        <v>1000000000</v>
      </c>
      <c r="AB252" s="174">
        <f t="shared" si="119"/>
        <v>237160000</v>
      </c>
      <c r="AD252" s="701">
        <f t="shared" si="120"/>
        <v>27.610372346314279</v>
      </c>
      <c r="AE252" s="702">
        <f t="shared" si="121"/>
        <v>-9.3466442787772728</v>
      </c>
      <c r="AG252" s="701">
        <f t="shared" si="122"/>
        <v>3.6167571736658615</v>
      </c>
      <c r="AH252" s="702">
        <f t="shared" si="123"/>
        <v>-78.442640958584434</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5">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1.0021683733746616</v>
      </c>
      <c r="N253" s="694">
        <f t="shared" si="110"/>
        <v>-6.5794565253571247E-2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5.5690688010083385</v>
      </c>
      <c r="X253" s="699">
        <f t="shared" si="116"/>
        <v>-109.93146636226449</v>
      </c>
      <c r="Y253" s="702">
        <f t="shared" si="117"/>
        <v>70.068533637735513</v>
      </c>
      <c r="AA253" s="174">
        <f t="shared" si="118"/>
        <v>1000000000</v>
      </c>
      <c r="AB253" s="174">
        <f t="shared" si="119"/>
        <v>239878144</v>
      </c>
      <c r="AD253" s="701">
        <f t="shared" si="120"/>
        <v>27.609713536296326</v>
      </c>
      <c r="AE253" s="702">
        <f t="shared" si="121"/>
        <v>-9.3440166214824245</v>
      </c>
      <c r="AG253" s="701">
        <f t="shared" si="122"/>
        <v>3.568900609115385</v>
      </c>
      <c r="AH253" s="702">
        <f t="shared" si="123"/>
        <v>-78.420627025288113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5">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1.002193689885605</v>
      </c>
      <c r="N254" s="694">
        <f t="shared" si="110"/>
        <v>-6.6176841097353251E-2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5.5171327738421976</v>
      </c>
      <c r="X254" s="699">
        <f t="shared" si="116"/>
        <v>-110.0338713589266</v>
      </c>
      <c r="Y254" s="702">
        <f t="shared" si="117"/>
        <v>69.966128641073396</v>
      </c>
      <c r="AA254" s="174">
        <f t="shared" si="118"/>
        <v>1000000000</v>
      </c>
      <c r="AB254" s="174">
        <f t="shared" si="119"/>
        <v>242681873.0625</v>
      </c>
      <c r="AD254" s="701">
        <f t="shared" si="120"/>
        <v>27.609042477220083</v>
      </c>
      <c r="AE254" s="702">
        <f t="shared" si="121"/>
        <v>-9.3416440846643045</v>
      </c>
      <c r="AG254" s="701">
        <f t="shared" si="122"/>
        <v>3.5201159362385019</v>
      </c>
      <c r="AH254" s="702">
        <f t="shared" si="123"/>
        <v>-78.397810308527156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5">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1.0022191528445323</v>
      </c>
      <c r="N255" s="694">
        <f t="shared" si="110"/>
        <v>-6.65590975723519E-2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5.4654834299809743</v>
      </c>
      <c r="X255" s="699">
        <f t="shared" si="116"/>
        <v>-110.13633171942895</v>
      </c>
      <c r="Y255" s="702">
        <f t="shared" si="117"/>
        <v>69.863668280571048</v>
      </c>
      <c r="AA255" s="174">
        <f t="shared" si="118"/>
        <v>1000000000</v>
      </c>
      <c r="AB255" s="174">
        <f t="shared" si="119"/>
        <v>245501892.25</v>
      </c>
      <c r="AD255" s="701">
        <f t="shared" si="120"/>
        <v>27.608375926895476</v>
      </c>
      <c r="AE255" s="702">
        <f t="shared" si="121"/>
        <v>-9.3395923407996921</v>
      </c>
      <c r="AG255" s="701">
        <f t="shared" si="122"/>
        <v>3.4716271932638723</v>
      </c>
      <c r="AH255" s="702">
        <f t="shared" si="123"/>
        <v>-78.374755048004999</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5">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1.0022447622402813</v>
      </c>
      <c r="N256" s="694">
        <f t="shared" si="110"/>
        <v>-6.6941334568337077E-2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5.4141173696917786</v>
      </c>
      <c r="X256" s="699">
        <f t="shared" si="116"/>
        <v>-110.23884615255838</v>
      </c>
      <c r="Y256" s="702">
        <f t="shared" si="117"/>
        <v>69.761153847441619</v>
      </c>
      <c r="AA256" s="174">
        <f t="shared" si="118"/>
        <v>1000000000</v>
      </c>
      <c r="AB256" s="174">
        <f t="shared" si="119"/>
        <v>248338201.5625</v>
      </c>
      <c r="AD256" s="701">
        <f t="shared" si="120"/>
        <v>27.607713743462568</v>
      </c>
      <c r="AE256" s="702">
        <f t="shared" si="121"/>
        <v>-9.3378558891710473</v>
      </c>
      <c r="AG256" s="701">
        <f t="shared" si="122"/>
        <v>3.4234311112948919</v>
      </c>
      <c r="AH256" s="702">
        <f t="shared" si="123"/>
        <v>-78.351465593441006</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5">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1.0022705180616269</v>
      </c>
      <c r="N257" s="694">
        <f t="shared" si="110"/>
        <v>-6.732355197511268E-2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5.3630312522314361</v>
      </c>
      <c r="X257" s="699">
        <f t="shared" si="116"/>
        <v>-110.34141339388954</v>
      </c>
      <c r="Y257" s="702">
        <f t="shared" si="117"/>
        <v>69.658586606110461</v>
      </c>
      <c r="AA257" s="174">
        <f t="shared" si="118"/>
        <v>1000000000</v>
      </c>
      <c r="AB257" s="174">
        <f t="shared" si="119"/>
        <v>251190801</v>
      </c>
      <c r="AD257" s="701">
        <f t="shared" si="120"/>
        <v>27.607055789073303</v>
      </c>
      <c r="AE257" s="702">
        <f t="shared" si="121"/>
        <v>-9.3364293526545836</v>
      </c>
      <c r="AG257" s="701">
        <f t="shared" si="122"/>
        <v>3.375524476359224</v>
      </c>
      <c r="AH257" s="702">
        <f t="shared" si="123"/>
        <v>-78.327946197491855</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5">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1.002296995966228</v>
      </c>
      <c r="N258" s="694">
        <f t="shared" si="110"/>
        <v>-6.7714219213851998E-2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5.3110989318040751</v>
      </c>
      <c r="X258" s="699">
        <f t="shared" si="116"/>
        <v>-110.44630688090123</v>
      </c>
      <c r="Y258" s="702">
        <f t="shared" si="117"/>
        <v>69.553693119098767</v>
      </c>
      <c r="AA258" s="174">
        <f t="shared" si="118"/>
        <v>1000000000</v>
      </c>
      <c r="AB258" s="174">
        <f t="shared" si="119"/>
        <v>254123451.5625</v>
      </c>
      <c r="AD258" s="701">
        <f t="shared" si="120"/>
        <v>27.606387485178942</v>
      </c>
      <c r="AE258" s="702">
        <f t="shared" si="121"/>
        <v>-9.3352860237654092</v>
      </c>
      <c r="AG258" s="701">
        <f t="shared" si="122"/>
        <v>3.3268520482406494</v>
      </c>
      <c r="AH258" s="702">
        <f t="shared" si="123"/>
        <v>-78.303672283541417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5">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1.0023236268341948</v>
      </c>
      <c r="N259" s="694">
        <f t="shared" si="110"/>
        <v>-6.8104865752831228E-2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5.2594522236518637</v>
      </c>
      <c r="X259" s="699">
        <f t="shared" si="116"/>
        <v>-110.55125295365407</v>
      </c>
      <c r="Y259" s="702">
        <f t="shared" si="117"/>
        <v>69.448747046345929</v>
      </c>
      <c r="AA259" s="174">
        <f t="shared" si="118"/>
        <v>1000000000</v>
      </c>
      <c r="AB259" s="174">
        <f t="shared" si="119"/>
        <v>257073122.25</v>
      </c>
      <c r="AD259" s="701">
        <f t="shared" si="120"/>
        <v>27.60572332085097</v>
      </c>
      <c r="AE259" s="702">
        <f t="shared" si="121"/>
        <v>-9.3344555177484914</v>
      </c>
      <c r="AG259" s="701">
        <f t="shared" si="122"/>
        <v>3.2784754179262405</v>
      </c>
      <c r="AH259" s="702">
        <f t="shared" si="123"/>
        <v>-78.279166810216111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5">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1.0023504106533347</v>
      </c>
      <c r="N260" s="694">
        <f t="shared" si="110"/>
        <v>-6.8495491474476033E-2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5.2080877423673133</v>
      </c>
      <c r="X260" s="699">
        <f t="shared" si="116"/>
        <v>-110.65625034390405</v>
      </c>
      <c r="Y260" s="702">
        <f t="shared" si="117"/>
        <v>69.343749656095952</v>
      </c>
      <c r="AA260" s="174">
        <f t="shared" si="118"/>
        <v>1000000000</v>
      </c>
      <c r="AB260" s="174">
        <f t="shared" si="119"/>
        <v>260039813.0625</v>
      </c>
      <c r="AD260" s="701">
        <f t="shared" si="120"/>
        <v>27.605063161010534</v>
      </c>
      <c r="AE260" s="702">
        <f t="shared" si="121"/>
        <v>-9.3339324703343021</v>
      </c>
      <c r="AG260" s="701">
        <f t="shared" si="122"/>
        <v>3.2303913230858194</v>
      </c>
      <c r="AH260" s="702">
        <f t="shared" si="123"/>
        <v>-78.254434022174749</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5">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1.0023773474113875</v>
      </c>
      <c r="N261" s="694">
        <f t="shared" si="110"/>
        <v>-6.8886096261250002E-2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5.1570021612049199</v>
      </c>
      <c r="X261" s="699">
        <f t="shared" si="116"/>
        <v>-110.76129780958969</v>
      </c>
      <c r="Y261" s="702">
        <f t="shared" si="117"/>
        <v>69.238702190410308</v>
      </c>
      <c r="AA261" s="174">
        <f t="shared" si="118"/>
        <v>1000000000</v>
      </c>
      <c r="AB261" s="174">
        <f t="shared" si="119"/>
        <v>263023524</v>
      </c>
      <c r="AD261" s="701">
        <f t="shared" si="120"/>
        <v>27.6044068743977</v>
      </c>
      <c r="AE261" s="702">
        <f t="shared" si="121"/>
        <v>-9.3337116376926659</v>
      </c>
      <c r="AG261" s="701">
        <f t="shared" si="122"/>
        <v>3.1825965561751128</v>
      </c>
      <c r="AH261" s="702">
        <f t="shared" si="123"/>
        <v>-78.229478069535503</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5">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1.0024050997303799</v>
      </c>
      <c r="N262" s="694">
        <f t="shared" si="110"/>
        <v>-6.9286206164213007E-2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5.104956359781708</v>
      </c>
      <c r="X262" s="699">
        <f t="shared" si="116"/>
        <v>-110.86895805938552</v>
      </c>
      <c r="Y262" s="702">
        <f t="shared" si="117"/>
        <v>69.13104194061448</v>
      </c>
      <c r="AA262" s="174">
        <f t="shared" si="118"/>
        <v>1000000000</v>
      </c>
      <c r="AB262" s="174">
        <f t="shared" si="119"/>
        <v>266097656.25</v>
      </c>
      <c r="AD262" s="701">
        <f t="shared" si="120"/>
        <v>27.603738463550613</v>
      </c>
      <c r="AE262" s="702">
        <f t="shared" si="121"/>
        <v>-9.3337934218623211</v>
      </c>
      <c r="AG262" s="701">
        <f t="shared" si="122"/>
        <v>3.1339327658413612</v>
      </c>
      <c r="AH262" s="702">
        <f t="shared" si="123"/>
        <v>-78.203686281131041</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5">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1.002433012513434</v>
      </c>
      <c r="N263" s="694">
        <f t="shared" si="110"/>
        <v>-6.9686293849073169E-2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5.0531963450453112</v>
      </c>
      <c r="X263" s="699">
        <f t="shared" si="116"/>
        <v>-110.97666829971885</v>
      </c>
      <c r="Y263" s="702">
        <f t="shared" si="117"/>
        <v>69.023331700281148</v>
      </c>
      <c r="AA263" s="174">
        <f t="shared" si="118"/>
        <v>1000000000</v>
      </c>
      <c r="AB263" s="174">
        <f t="shared" si="119"/>
        <v>269189649</v>
      </c>
      <c r="AD263" s="701">
        <f t="shared" si="120"/>
        <v>27.603073850067823</v>
      </c>
      <c r="AE263" s="702">
        <f t="shared" si="121"/>
        <v>-9.3341815760882767</v>
      </c>
      <c r="AG263" s="701">
        <f t="shared" si="122"/>
        <v>3.0855659461828338</v>
      </c>
      <c r="AH263" s="702">
        <f t="shared" si="123"/>
        <v>-78.177668832808408</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5">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1.0024610857471454</v>
      </c>
      <c r="N264" s="694">
        <f t="shared" si="110"/>
        <v>-7.0086359189607594E-2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5.0017187236223428</v>
      </c>
      <c r="X264" s="699">
        <f t="shared" si="116"/>
        <v>-111.08442727629073</v>
      </c>
      <c r="Y264" s="702">
        <f t="shared" si="117"/>
        <v>68.915572723709275</v>
      </c>
      <c r="AA264" s="174">
        <f t="shared" si="118"/>
        <v>1000000000</v>
      </c>
      <c r="AB264" s="174">
        <f t="shared" si="119"/>
        <v>272299502.25</v>
      </c>
      <c r="AD264" s="701">
        <f t="shared" si="120"/>
        <v>27.602412904491658</v>
      </c>
      <c r="AE264" s="702">
        <f t="shared" si="121"/>
        <v>-9.3348708348898839</v>
      </c>
      <c r="AG264" s="701">
        <f t="shared" si="122"/>
        <v>3.0374928201346596</v>
      </c>
      <c r="AH264" s="702">
        <f t="shared" si="123"/>
        <v>-78.151429894282103</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5">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1.0024893194180351</v>
      </c>
      <c r="N265" s="694">
        <f t="shared" si="110"/>
        <v>-7.0486402059636119E-2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4.950520160989579</v>
      </c>
      <c r="X265" s="699">
        <f t="shared" si="116"/>
        <v>-111.19223376061561</v>
      </c>
      <c r="Y265" s="702">
        <f t="shared" si="117"/>
        <v>68.807766239384392</v>
      </c>
      <c r="AA265" s="174">
        <f t="shared" si="118"/>
        <v>1000000000</v>
      </c>
      <c r="AB265" s="174">
        <f t="shared" si="119"/>
        <v>275427216</v>
      </c>
      <c r="AD265" s="701">
        <f t="shared" si="120"/>
        <v>27.601755501031331</v>
      </c>
      <c r="AE265" s="702">
        <f t="shared" si="121"/>
        <v>-9.335856051171211</v>
      </c>
      <c r="AG265" s="701">
        <f t="shared" si="122"/>
        <v>2.9897101657527796</v>
      </c>
      <c r="AH265" s="702">
        <f t="shared" si="123"/>
        <v>-78.124973542377688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5">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1.0025183161791982</v>
      </c>
      <c r="N266" s="694">
        <f t="shared" si="110"/>
        <v>-7.0894888125456815E-2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4.8985226058522198</v>
      </c>
      <c r="X266" s="699">
        <f t="shared" si="116"/>
        <v>-111.30236963976084</v>
      </c>
      <c r="Y266" s="702">
        <f t="shared" si="117"/>
        <v>68.69763036023916</v>
      </c>
      <c r="AA266" s="174">
        <f t="shared" si="118"/>
        <v>1000000000</v>
      </c>
      <c r="AB266" s="174">
        <f t="shared" si="119"/>
        <v>278639556.25</v>
      </c>
      <c r="AD266" s="701">
        <f t="shared" si="120"/>
        <v>27.601087712601124</v>
      </c>
      <c r="AE266" s="702">
        <f t="shared" si="121"/>
        <v>-9.3371623089191029</v>
      </c>
      <c r="AG266" s="701">
        <f t="shared" si="122"/>
        <v>2.9412127041977039</v>
      </c>
      <c r="AH266" s="702">
        <f t="shared" si="123"/>
        <v>-78.097737046127179</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5">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1.0025474802117427</v>
      </c>
      <c r="N267" s="694">
        <f t="shared" si="110"/>
        <v>-7.1303350493771303E-2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4.8468092004414416</v>
      </c>
      <c r="X267" s="699">
        <f t="shared" si="116"/>
        <v>-111.41255254896733</v>
      </c>
      <c r="Y267" s="702">
        <f t="shared" si="117"/>
        <v>68.587447451032673</v>
      </c>
      <c r="AA267" s="174">
        <f t="shared" si="118"/>
        <v>1000000000</v>
      </c>
      <c r="AB267" s="174">
        <f t="shared" si="119"/>
        <v>281870521</v>
      </c>
      <c r="AD267" s="701">
        <f t="shared" si="120"/>
        <v>27.600423363850929</v>
      </c>
      <c r="AE267" s="702">
        <f t="shared" si="121"/>
        <v>-9.3387666991936147</v>
      </c>
      <c r="AG267" s="701">
        <f t="shared" si="122"/>
        <v>2.8930115193521559</v>
      </c>
      <c r="AH267" s="702">
        <f t="shared" si="123"/>
        <v>-78.070282143803482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5">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1.0025768115010716</v>
      </c>
      <c r="N268" s="694">
        <f t="shared" si="110"/>
        <v>-7.1711789030356618E-2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4.7953765753596258</v>
      </c>
      <c r="X268" s="699">
        <f t="shared" si="116"/>
        <v>-111.52278125894908</v>
      </c>
      <c r="Y268" s="702">
        <f t="shared" si="117"/>
        <v>68.477218741050919</v>
      </c>
      <c r="AA268" s="174">
        <f t="shared" si="118"/>
        <v>1000000000</v>
      </c>
      <c r="AB268" s="174">
        <f t="shared" si="119"/>
        <v>285120110.25</v>
      </c>
      <c r="AD268" s="701">
        <f t="shared" si="120"/>
        <v>27.599762331889387</v>
      </c>
      <c r="AE268" s="702">
        <f t="shared" si="121"/>
        <v>-9.340664102252358</v>
      </c>
      <c r="AG268" s="701">
        <f t="shared" si="122"/>
        <v>2.845103350441418</v>
      </c>
      <c r="AH268" s="702">
        <f t="shared" si="123"/>
        <v>-78.042612893298013</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5">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1.0026063100325053</v>
      </c>
      <c r="N269" s="694">
        <f t="shared" ref="N269:N332" si="142">-ATAN(G269/z_RHP)</f>
        <v>-7.2120203601037283E-2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4.7442214195132184</v>
      </c>
      <c r="X269" s="699">
        <f t="shared" ref="X269:X332" si="148">((L269+R269+N269+V269)-(J269+P269+T269))*radconv</f>
        <v>-111.63305456555072</v>
      </c>
      <c r="Y269" s="702">
        <f t="shared" ref="Y269:Y332" si="149">IF(X269&gt;0,X269,X269+180)</f>
        <v>68.366945434449278</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2.7974849914512152</v>
      </c>
      <c r="AH269" s="702">
        <f t="shared" ref="AH269:AH332" si="155">(L269+N269-(J269+V269))*radconv</f>
        <v>-78.014733262375998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5">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1.0026367465563986</v>
      </c>
      <c r="N270" s="694">
        <f t="shared" si="142"/>
        <v>-7.2539173814224547E-2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4.6920259348978766</v>
      </c>
      <c r="X270" s="699">
        <f t="shared" si="148"/>
        <v>-111.74622980180975</v>
      </c>
      <c r="Y270" s="702">
        <f t="shared" si="149"/>
        <v>68.253770198190253</v>
      </c>
      <c r="AA270" s="174">
        <f t="shared" si="150"/>
        <v>1000000000</v>
      </c>
      <c r="AB270" s="174">
        <f t="shared" si="151"/>
        <v>291760561</v>
      </c>
      <c r="AD270" s="701">
        <f t="shared" si="152"/>
        <v>27.598432821443012</v>
      </c>
      <c r="AE270" s="702">
        <f t="shared" si="153"/>
        <v>-9.3453857096443027</v>
      </c>
      <c r="AG270" s="701">
        <f t="shared" si="154"/>
        <v>2.748930861466409</v>
      </c>
      <c r="AH270" s="702">
        <f t="shared" si="155"/>
        <v>-77.985916801288056</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5">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1.0026673590684723</v>
      </c>
      <c r="N271" s="694">
        <f t="shared" si="142"/>
        <v>-7.2958118517726198E-2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4.6401156049542545</v>
      </c>
      <c r="X271" s="699">
        <f t="shared" si="148"/>
        <v>-111.85944948602845</v>
      </c>
      <c r="Y271" s="702">
        <f t="shared" si="149"/>
        <v>68.140550513971547</v>
      </c>
      <c r="AA271" s="174">
        <f t="shared" si="150"/>
        <v>1000000000</v>
      </c>
      <c r="AB271" s="174">
        <f t="shared" si="151"/>
        <v>295152400</v>
      </c>
      <c r="AD271" s="701">
        <f t="shared" si="152"/>
        <v>27.597764266882329</v>
      </c>
      <c r="AE271" s="702">
        <f t="shared" si="153"/>
        <v>-9.348214715877404</v>
      </c>
      <c r="AG271" s="701">
        <f t="shared" si="154"/>
        <v>2.7006750876422396</v>
      </c>
      <c r="AH271" s="702">
        <f t="shared" si="155"/>
        <v>-77.956887097953242</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5">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1.0026981475526078</v>
      </c>
      <c r="N272" s="694">
        <f t="shared" si="142"/>
        <v>-7.3377037566823552E-2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4.5884870371447244</v>
      </c>
      <c r="X272" s="699">
        <f t="shared" si="148"/>
        <v>-111.97271239604706</v>
      </c>
      <c r="Y272" s="702">
        <f t="shared" si="149"/>
        <v>68.027287603952942</v>
      </c>
      <c r="AA272" s="174">
        <f t="shared" si="150"/>
        <v>1000000000</v>
      </c>
      <c r="AB272" s="174">
        <f t="shared" si="151"/>
        <v>298563841</v>
      </c>
      <c r="AD272" s="701">
        <f t="shared" si="152"/>
        <v>27.597098715337186</v>
      </c>
      <c r="AE272" s="702">
        <f t="shared" si="153"/>
        <v>-9.351331484213393</v>
      </c>
      <c r="AG272" s="701">
        <f t="shared" si="154"/>
        <v>2.6527143800274455</v>
      </c>
      <c r="AH272" s="702">
        <f t="shared" si="155"/>
        <v>-77.927648157198007</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5">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1.0027291119925952</v>
      </c>
      <c r="N273" s="694">
        <f t="shared" si="142"/>
        <v>-7.3795930816851679E-2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4.537136897776886</v>
      </c>
      <c r="X273" s="699">
        <f t="shared" si="148"/>
        <v>-112.08601733462807</v>
      </c>
      <c r="Y273" s="702">
        <f t="shared" si="149"/>
        <v>67.913982665371933</v>
      </c>
      <c r="AA273" s="174">
        <f t="shared" si="150"/>
        <v>1000000000</v>
      </c>
      <c r="AB273" s="174">
        <f t="shared" si="151"/>
        <v>301994884</v>
      </c>
      <c r="AD273" s="701">
        <f t="shared" si="152"/>
        <v>27.596436051882968</v>
      </c>
      <c r="AE273" s="702">
        <f t="shared" si="153"/>
        <v>-9.3547310805116304</v>
      </c>
      <c r="AG273" s="701">
        <f t="shared" si="154"/>
        <v>2.6050455040847273</v>
      </c>
      <c r="AH273" s="702">
        <f t="shared" si="155"/>
        <v>-77.898203894769352</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5">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1.0027609621526572</v>
      </c>
      <c r="N274" s="694">
        <f t="shared" si="142"/>
        <v>-7.4224317532059908E-2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4.484904287944846</v>
      </c>
      <c r="X274" s="699">
        <f t="shared" si="148"/>
        <v>-112.20193963532034</v>
      </c>
      <c r="Y274" s="702">
        <f t="shared" si="149"/>
        <v>67.798060364679657</v>
      </c>
      <c r="AA274" s="174">
        <f t="shared" si="150"/>
        <v>1000000000</v>
      </c>
      <c r="AB274" s="174">
        <f t="shared" si="151"/>
        <v>305524180.5625</v>
      </c>
      <c r="AD274" s="701">
        <f t="shared" si="152"/>
        <v>27.595761198818266</v>
      </c>
      <c r="AE274" s="702">
        <f t="shared" si="153"/>
        <v>-9.3584954566635297</v>
      </c>
      <c r="AG274" s="701">
        <f t="shared" si="154"/>
        <v>2.5565917862368637</v>
      </c>
      <c r="AH274" s="702">
        <f t="shared" si="155"/>
        <v>-77.867882060455557</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5">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1.0027929963228661</v>
      </c>
      <c r="N275" s="694">
        <f t="shared" si="142"/>
        <v>-7.4652676956291644E-2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4.4329560357030759</v>
      </c>
      <c r="X275" s="699">
        <f t="shared" si="148"/>
        <v>-112.31790344055344</v>
      </c>
      <c r="Y275" s="702">
        <f t="shared" si="149"/>
        <v>67.682096559446563</v>
      </c>
      <c r="AA275" s="174">
        <f t="shared" si="150"/>
        <v>1000000000</v>
      </c>
      <c r="AB275" s="174">
        <f t="shared" si="151"/>
        <v>309073980.25</v>
      </c>
      <c r="AD275" s="701">
        <f t="shared" si="152"/>
        <v>27.595089133736334</v>
      </c>
      <c r="AE275" s="702">
        <f t="shared" si="153"/>
        <v>-9.3625455736097827</v>
      </c>
      <c r="AG275" s="701">
        <f t="shared" si="154"/>
        <v>2.5084366446512001</v>
      </c>
      <c r="AH275" s="702">
        <f t="shared" si="155"/>
        <v>-77.83735347566946</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5">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1.0028252144855878</v>
      </c>
      <c r="N276" s="694">
        <f t="shared" si="142"/>
        <v>-7.508100893496894E-2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4.3812887571695454</v>
      </c>
      <c r="X276" s="699">
        <f t="shared" si="148"/>
        <v>-112.43390754612581</v>
      </c>
      <c r="Y276" s="702">
        <f t="shared" si="149"/>
        <v>67.566092453874191</v>
      </c>
      <c r="AA276" s="174">
        <f t="shared" si="150"/>
        <v>1000000000</v>
      </c>
      <c r="AB276" s="174">
        <f t="shared" si="151"/>
        <v>312644283.0625</v>
      </c>
      <c r="AD276" s="701">
        <f t="shared" si="152"/>
        <v>27.594419743876276</v>
      </c>
      <c r="AE276" s="702">
        <f t="shared" si="153"/>
        <v>-9.3668765014389912</v>
      </c>
      <c r="AG276" s="701">
        <f t="shared" si="154"/>
        <v>2.4605767911020942</v>
      </c>
      <c r="AH276" s="702">
        <f t="shared" si="155"/>
        <v>-77.806622056138721</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5">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1.0028576166230896</v>
      </c>
      <c r="N277" s="694">
        <f t="shared" si="142"/>
        <v>-7.5509313313573898E-2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4.329899127117887</v>
      </c>
      <c r="X277" s="699">
        <f t="shared" si="148"/>
        <v>-112.54995077224116</v>
      </c>
      <c r="Y277" s="702">
        <f t="shared" si="149"/>
        <v>67.450049227758839</v>
      </c>
      <c r="AA277" s="174">
        <f t="shared" si="150"/>
        <v>1000000000</v>
      </c>
      <c r="AB277" s="174">
        <f t="shared" si="151"/>
        <v>316235089</v>
      </c>
      <c r="AD277" s="701">
        <f t="shared" si="152"/>
        <v>27.593752919680178</v>
      </c>
      <c r="AE277" s="702">
        <f t="shared" si="153"/>
        <v>-9.3714834211504883</v>
      </c>
      <c r="AG277" s="701">
        <f t="shared" si="154"/>
        <v>2.4130089927381784</v>
      </c>
      <c r="AH277" s="702">
        <f t="shared" si="155"/>
        <v>-77.775691630644658</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5">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1.0028909289422219</v>
      </c>
      <c r="N278" s="694">
        <f t="shared" si="142"/>
        <v>-7.5947106879543036E-2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4.2776510749265322</v>
      </c>
      <c r="X278" s="699">
        <f t="shared" si="148"/>
        <v>-112.66861196734285</v>
      </c>
      <c r="Y278" s="702">
        <f t="shared" si="149"/>
        <v>67.331388032657145</v>
      </c>
      <c r="AA278" s="174">
        <f t="shared" si="150"/>
        <v>1000000000</v>
      </c>
      <c r="AB278" s="174">
        <f t="shared" si="151"/>
        <v>319926882.25</v>
      </c>
      <c r="AD278" s="701">
        <f t="shared" si="152"/>
        <v>27.593073818152867</v>
      </c>
      <c r="AE278" s="702">
        <f t="shared" si="153"/>
        <v>-9.3764730717561626</v>
      </c>
      <c r="AG278" s="701">
        <f t="shared" si="154"/>
        <v>2.3646826851732077</v>
      </c>
      <c r="AH278" s="702">
        <f t="shared" si="155"/>
        <v>-77.743872071923704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5">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1.0029244334658545</v>
      </c>
      <c r="N279" s="694">
        <f t="shared" si="142"/>
        <v>-7.6384871278822472E-2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4.2256863035256806</v>
      </c>
      <c r="X279" s="699">
        <f t="shared" si="148"/>
        <v>-112.78731162316924</v>
      </c>
      <c r="Y279" s="702">
        <f t="shared" si="149"/>
        <v>67.212688376830755</v>
      </c>
      <c r="AA279" s="174">
        <f t="shared" si="150"/>
        <v>1000000000</v>
      </c>
      <c r="AB279" s="174">
        <f t="shared" si="151"/>
        <v>323640100</v>
      </c>
      <c r="AD279" s="701">
        <f t="shared" si="152"/>
        <v>27.592397175861883</v>
      </c>
      <c r="AE279" s="702">
        <f t="shared" si="153"/>
        <v>-9.3817412751982232</v>
      </c>
      <c r="AG279" s="701">
        <f t="shared" si="154"/>
        <v>2.316654897679022</v>
      </c>
      <c r="AH279" s="702">
        <f t="shared" si="155"/>
        <v>-77.711852387246296</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5">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1.0029581301747257</v>
      </c>
      <c r="N280" s="694">
        <f t="shared" si="142"/>
        <v>-7.6822606346559394E-2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4.1740014424662792</v>
      </c>
      <c r="X280" s="699">
        <f t="shared" si="148"/>
        <v>-112.90604855433504</v>
      </c>
      <c r="Y280" s="702">
        <f t="shared" si="149"/>
        <v>67.093951445664956</v>
      </c>
      <c r="AA280" s="174">
        <f t="shared" si="150"/>
        <v>1000000000</v>
      </c>
      <c r="AB280" s="174">
        <f t="shared" si="151"/>
        <v>327374742.25</v>
      </c>
      <c r="AD280" s="701">
        <f t="shared" si="152"/>
        <v>27.591722885474045</v>
      </c>
      <c r="AE280" s="702">
        <f t="shared" si="153"/>
        <v>-9.3872832235299626</v>
      </c>
      <c r="AG280" s="701">
        <f t="shared" si="154"/>
        <v>2.2689223485328593</v>
      </c>
      <c r="AH280" s="702">
        <f t="shared" si="155"/>
        <v>-77.679636400229626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5">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1.0029920190494652</v>
      </c>
      <c r="N281" s="694">
        <f t="shared" si="142"/>
        <v>-7.7260311917967978E-2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4.1225931796577697</v>
      </c>
      <c r="X281" s="699">
        <f t="shared" si="148"/>
        <v>-113.02482159931074</v>
      </c>
      <c r="Y281" s="702">
        <f t="shared" si="149"/>
        <v>66.975178400689259</v>
      </c>
      <c r="AA281" s="174">
        <f t="shared" si="150"/>
        <v>1000000000</v>
      </c>
      <c r="AB281" s="174">
        <f t="shared" si="151"/>
        <v>331130809</v>
      </c>
      <c r="AD281" s="701">
        <f t="shared" si="152"/>
        <v>27.591050842705375</v>
      </c>
      <c r="AE281" s="702">
        <f t="shared" si="153"/>
        <v>-9.3930942168770564</v>
      </c>
      <c r="AG281" s="701">
        <f t="shared" si="154"/>
        <v>2.2214818112368548</v>
      </c>
      <c r="AH281" s="702">
        <f t="shared" si="155"/>
        <v>-77.647227849784173</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5">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1.0030269256601645</v>
      </c>
      <c r="N282" s="694">
        <f t="shared" si="142"/>
        <v>-7.7708559341970393E-2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4.070226471219847</v>
      </c>
      <c r="X282" s="699">
        <f t="shared" si="148"/>
        <v>-113.14649980197683</v>
      </c>
      <c r="Y282" s="702">
        <f t="shared" si="149"/>
        <v>66.85350019802317</v>
      </c>
      <c r="AA282" s="174">
        <f t="shared" si="150"/>
        <v>1000000000</v>
      </c>
      <c r="AB282" s="174">
        <f t="shared" si="151"/>
        <v>334999809</v>
      </c>
      <c r="AD282" s="701">
        <f t="shared" si="152"/>
        <v>27.59036479086387</v>
      </c>
      <c r="AE282" s="702">
        <f t="shared" si="153"/>
        <v>-9.399319643548198</v>
      </c>
      <c r="AG282" s="701">
        <f t="shared" si="154"/>
        <v>2.1731947298990351</v>
      </c>
      <c r="AH282" s="702">
        <f t="shared" si="155"/>
        <v>-77.613840707707809</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5">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1.0030620337907539</v>
      </c>
      <c r="N283" s="694">
        <f t="shared" si="142"/>
        <v>-7.8156775477848592E-2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4.0181430345484106</v>
      </c>
      <c r="X283" s="699">
        <f t="shared" si="148"/>
        <v>-113.26821349199039</v>
      </c>
      <c r="Y283" s="702">
        <f t="shared" si="149"/>
        <v>66.731786508009606</v>
      </c>
      <c r="AA283" s="174">
        <f t="shared" si="150"/>
        <v>1000000000</v>
      </c>
      <c r="AB283" s="174">
        <f t="shared" si="151"/>
        <v>338891281</v>
      </c>
      <c r="AD283" s="701">
        <f t="shared" si="152"/>
        <v>27.589680884490004</v>
      </c>
      <c r="AE283" s="702">
        <f t="shared" si="153"/>
        <v>-9.4058176256131159</v>
      </c>
      <c r="AG283" s="701">
        <f t="shared" si="154"/>
        <v>2.1252072596279517</v>
      </c>
      <c r="AH283" s="702">
        <f t="shared" si="155"/>
        <v>-77.580259263291637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5">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1.0030973434200738</v>
      </c>
      <c r="N284" s="694">
        <f t="shared" si="142"/>
        <v>-7.8604960148806094E-2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3.9663394934099565</v>
      </c>
      <c r="X284" s="699">
        <f t="shared" si="148"/>
        <v>-113.38996149522951</v>
      </c>
      <c r="Y284" s="702">
        <f t="shared" si="149"/>
        <v>66.610038504770486</v>
      </c>
      <c r="AA284" s="174">
        <f t="shared" si="150"/>
        <v>1000000000</v>
      </c>
      <c r="AB284" s="174">
        <f t="shared" si="151"/>
        <v>342805225</v>
      </c>
      <c r="AD284" s="701">
        <f t="shared" si="152"/>
        <v>27.588999020847101</v>
      </c>
      <c r="AE284" s="702">
        <f t="shared" si="153"/>
        <v>-9.4125834473511105</v>
      </c>
      <c r="AG284" s="701">
        <f t="shared" si="154"/>
        <v>2.0775161065749166</v>
      </c>
      <c r="AH284" s="702">
        <f t="shared" si="155"/>
        <v>-77.546487271977995</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5">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1.0031328545268465</v>
      </c>
      <c r="N285" s="694">
        <f t="shared" si="142"/>
        <v>-7.9053113178121831E-2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3.9148125300770009</v>
      </c>
      <c r="X285" s="699">
        <f t="shared" si="148"/>
        <v>-113.5117426610679</v>
      </c>
      <c r="Y285" s="702">
        <f t="shared" si="149"/>
        <v>66.488257338932101</v>
      </c>
      <c r="AA285" s="174">
        <f t="shared" si="150"/>
        <v>1000000000</v>
      </c>
      <c r="AB285" s="174">
        <f t="shared" si="151"/>
        <v>346741641</v>
      </c>
      <c r="AD285" s="701">
        <f t="shared" si="152"/>
        <v>27.588319100123261</v>
      </c>
      <c r="AE285" s="702">
        <f t="shared" si="153"/>
        <v>-9.4196124991417616</v>
      </c>
      <c r="AG285" s="701">
        <f t="shared" si="154"/>
        <v>2.0301180323814032</v>
      </c>
      <c r="AH285" s="702">
        <f t="shared" si="155"/>
        <v>-77.512528406057243</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5">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1.0031694117986167</v>
      </c>
      <c r="N286" s="694">
        <f t="shared" si="142"/>
        <v>-7.9511802900134196E-2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3.8623533444751352</v>
      </c>
      <c r="X286" s="699">
        <f t="shared" si="148"/>
        <v>-113.63642919221559</v>
      </c>
      <c r="Y286" s="702">
        <f t="shared" si="149"/>
        <v>66.363570807784413</v>
      </c>
      <c r="AA286" s="174">
        <f t="shared" si="150"/>
        <v>1000000000</v>
      </c>
      <c r="AB286" s="174">
        <f t="shared" si="151"/>
        <v>350794170.25</v>
      </c>
      <c r="AD286" s="701">
        <f t="shared" si="152"/>
        <v>27.587625054511822</v>
      </c>
      <c r="AE286" s="702">
        <f t="shared" si="153"/>
        <v>-9.4270752428583098</v>
      </c>
      <c r="AG286" s="701">
        <f t="shared" si="154"/>
        <v>1.9819022845691996</v>
      </c>
      <c r="AH286" s="702">
        <f t="shared" si="155"/>
        <v>-77.477578834056033</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5">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1.0032061801180721</v>
      </c>
      <c r="N287" s="694">
        <f t="shared" si="142"/>
        <v>-7.9970459095940208E-2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3.8101770845604719</v>
      </c>
      <c r="X287" s="699">
        <f t="shared" si="148"/>
        <v>-113.76114810184177</v>
      </c>
      <c r="Y287" s="702">
        <f t="shared" si="149"/>
        <v>66.238851898158231</v>
      </c>
      <c r="AA287" s="174">
        <f t="shared" si="150"/>
        <v>1000000000</v>
      </c>
      <c r="AB287" s="174">
        <f t="shared" si="151"/>
        <v>354870244</v>
      </c>
      <c r="AD287" s="701">
        <f t="shared" si="152"/>
        <v>27.586932841896967</v>
      </c>
      <c r="AE287" s="702">
        <f t="shared" si="153"/>
        <v>-9.4348043342316803</v>
      </c>
      <c r="AG287" s="701">
        <f t="shared" si="154"/>
        <v>1.9339869100449258</v>
      </c>
      <c r="AH287" s="702">
        <f t="shared" si="155"/>
        <v>-77.44244099760401</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5">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1.0032431594620081</v>
      </c>
      <c r="N288" s="694">
        <f t="shared" si="142"/>
        <v>-8.0429081576265798E-2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3.758280374091441</v>
      </c>
      <c r="X288" s="699">
        <f t="shared" si="148"/>
        <v>-113.88589822834605</v>
      </c>
      <c r="Y288" s="702">
        <f t="shared" si="149"/>
        <v>66.114101771653949</v>
      </c>
      <c r="AA288" s="174">
        <f t="shared" si="150"/>
        <v>1000000000</v>
      </c>
      <c r="AB288" s="174">
        <f t="shared" si="151"/>
        <v>358969862.25</v>
      </c>
      <c r="AD288" s="701">
        <f t="shared" si="152"/>
        <v>27.586242364128108</v>
      </c>
      <c r="AE288" s="702">
        <f t="shared" si="153"/>
        <v>-9.4427951560192263</v>
      </c>
      <c r="AG288" s="701">
        <f t="shared" si="154"/>
        <v>1.8863686084992719</v>
      </c>
      <c r="AH288" s="702">
        <f t="shared" si="155"/>
        <v>-77.407118579294817</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5">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1.003280349807091</v>
      </c>
      <c r="N289" s="694">
        <f t="shared" si="142"/>
        <v>-8.0887670151921429E-2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3.706659895349568</v>
      </c>
      <c r="X289" s="699">
        <f t="shared" si="148"/>
        <v>-114.01067843321792</v>
      </c>
      <c r="Y289" s="702">
        <f t="shared" si="149"/>
        <v>65.989321566782081</v>
      </c>
      <c r="AA289" s="174">
        <f t="shared" si="150"/>
        <v>1000000000</v>
      </c>
      <c r="AB289" s="174">
        <f t="shared" si="151"/>
        <v>363093025</v>
      </c>
      <c r="AD289" s="701">
        <f t="shared" si="152"/>
        <v>27.585553525853612</v>
      </c>
      <c r="AE289" s="702">
        <f t="shared" si="153"/>
        <v>-9.4510431948987748</v>
      </c>
      <c r="AG289" s="701">
        <f t="shared" si="154"/>
        <v>1.8390441352486842</v>
      </c>
      <c r="AH289" s="702">
        <f t="shared" si="155"/>
        <v>-77.371615180281168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5">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1.0033185289660769</v>
      </c>
      <c r="N290" s="694">
        <f t="shared" si="142"/>
        <v>-8.1355733465941993E-2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3.6542504438330079</v>
      </c>
      <c r="X290" s="699">
        <f t="shared" si="148"/>
        <v>-114.13807610763486</v>
      </c>
      <c r="Y290" s="702">
        <f t="shared" si="149"/>
        <v>65.861923892365141</v>
      </c>
      <c r="AA290" s="174">
        <f t="shared" si="150"/>
        <v>1000000000</v>
      </c>
      <c r="AB290" s="174">
        <f t="shared" si="151"/>
        <v>367325973.0625</v>
      </c>
      <c r="AD290" s="701">
        <f t="shared" si="152"/>
        <v>27.584851997564517</v>
      </c>
      <c r="AE290" s="702">
        <f t="shared" si="153"/>
        <v>-9.4597229680136188</v>
      </c>
      <c r="AG290" s="701">
        <f t="shared" si="154"/>
        <v>1.7910379975229385</v>
      </c>
      <c r="AH290" s="702">
        <f t="shared" si="155"/>
        <v>-77.335192543461588</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5">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1.0033569279186065</v>
      </c>
      <c r="N291" s="694">
        <f t="shared" si="142"/>
        <v>-8.1823761056476471E-2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3.6021219949007186</v>
      </c>
      <c r="X291" s="699">
        <f t="shared" si="148"/>
        <v>-114.26550279465299</v>
      </c>
      <c r="Y291" s="702">
        <f t="shared" si="149"/>
        <v>65.734497205347012</v>
      </c>
      <c r="AA291" s="174">
        <f t="shared" si="150"/>
        <v>1000000000</v>
      </c>
      <c r="AB291" s="174">
        <f t="shared" si="151"/>
        <v>371583452.25</v>
      </c>
      <c r="AD291" s="701">
        <f t="shared" si="152"/>
        <v>27.58415198522998</v>
      </c>
      <c r="AE291" s="702">
        <f t="shared" si="153"/>
        <v>-9.4686615529040079</v>
      </c>
      <c r="AG291" s="701">
        <f t="shared" si="154"/>
        <v>1.7433313412732512</v>
      </c>
      <c r="AH291" s="702">
        <f t="shared" si="155"/>
        <v>-77.298588674315894</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5">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1.0033955466394462</v>
      </c>
      <c r="N292" s="694">
        <f t="shared" si="142"/>
        <v>-8.2291752722595243E-2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3.5502712002296466</v>
      </c>
      <c r="X292" s="699">
        <f t="shared" si="148"/>
        <v>-114.39295735389213</v>
      </c>
      <c r="Y292" s="702">
        <f t="shared" si="149"/>
        <v>65.607042646107871</v>
      </c>
      <c r="AA292" s="174">
        <f t="shared" si="150"/>
        <v>1000000000</v>
      </c>
      <c r="AB292" s="174">
        <f t="shared" si="151"/>
        <v>375865462.5625</v>
      </c>
      <c r="AD292" s="701">
        <f t="shared" si="152"/>
        <v>27.583453395869103</v>
      </c>
      <c r="AE292" s="702">
        <f t="shared" si="153"/>
        <v>-9.4778544660838318</v>
      </c>
      <c r="AG292" s="701">
        <f t="shared" si="154"/>
        <v>1.6959208871092999</v>
      </c>
      <c r="AH292" s="702">
        <f t="shared" si="155"/>
        <v>-77.26180715468459</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5">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1.0034343851032215</v>
      </c>
      <c r="N293" s="694">
        <f t="shared" si="142"/>
        <v>-8.2759708263462517E-2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3.498694769396391</v>
      </c>
      <c r="X293" s="699">
        <f t="shared" si="148"/>
        <v>-114.52043866741577</v>
      </c>
      <c r="Y293" s="702">
        <f t="shared" si="149"/>
        <v>65.479561332584225</v>
      </c>
      <c r="AA293" s="174">
        <f t="shared" si="150"/>
        <v>1000000000</v>
      </c>
      <c r="AB293" s="174">
        <f t="shared" si="151"/>
        <v>380172004</v>
      </c>
      <c r="AD293" s="701">
        <f t="shared" si="152"/>
        <v>27.58275613915022</v>
      </c>
      <c r="AE293" s="702">
        <f t="shared" si="153"/>
        <v>-9.487297324732145</v>
      </c>
      <c r="AG293" s="701">
        <f t="shared" si="154"/>
        <v>1.6488034107864624</v>
      </c>
      <c r="AH293" s="702">
        <f t="shared" si="155"/>
        <v>-77.224851487515252</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5">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1.0034745043500666</v>
      </c>
      <c r="N294" s="694">
        <f t="shared" si="142"/>
        <v>-8.3240301983715875E-2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3.4460034503730625</v>
      </c>
      <c r="X294" s="699">
        <f t="shared" si="148"/>
        <v>-114.65139989935555</v>
      </c>
      <c r="Y294" s="702">
        <f t="shared" si="149"/>
        <v>65.348600100644447</v>
      </c>
      <c r="AA294" s="174">
        <f t="shared" si="150"/>
        <v>1000000000</v>
      </c>
      <c r="AB294" s="174">
        <f t="shared" si="151"/>
        <v>384620738.0625</v>
      </c>
      <c r="AD294" s="701">
        <f t="shared" si="152"/>
        <v>27.582041290217909</v>
      </c>
      <c r="AE294" s="702">
        <f t="shared" si="153"/>
        <v>-9.4972516645955913</v>
      </c>
      <c r="AG294" s="701">
        <f t="shared" si="154"/>
        <v>1.6007112744487841</v>
      </c>
      <c r="AH294" s="702">
        <f t="shared" si="155"/>
        <v>-77.186717074901594</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5">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1.0035148553511797</v>
      </c>
      <c r="N295" s="694">
        <f t="shared" si="142"/>
        <v>-8.3720857165926088E-2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3.3935947061884097</v>
      </c>
      <c r="X295" s="699">
        <f t="shared" si="148"/>
        <v>-114.78238703418378</v>
      </c>
      <c r="Y295" s="702">
        <f t="shared" si="149"/>
        <v>65.217612965816215</v>
      </c>
      <c r="AA295" s="174">
        <f t="shared" si="150"/>
        <v>1000000000</v>
      </c>
      <c r="AB295" s="174">
        <f t="shared" si="151"/>
        <v>389095350.25</v>
      </c>
      <c r="AD295" s="701">
        <f t="shared" si="152"/>
        <v>27.581327662141533</v>
      </c>
      <c r="AE295" s="702">
        <f t="shared" si="153"/>
        <v>-9.5074606163134323</v>
      </c>
      <c r="AG295" s="701">
        <f t="shared" si="154"/>
        <v>1.552921482020527</v>
      </c>
      <c r="AH295" s="702">
        <f t="shared" si="155"/>
        <v>-77.148406196829299</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5">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1.0035554380786058</v>
      </c>
      <c r="N296" s="694">
        <f t="shared" si="142"/>
        <v>-8.4201373592802817E-2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3.3414651538254252</v>
      </c>
      <c r="X296" s="699">
        <f t="shared" si="148"/>
        <v>-114.91339893060979</v>
      </c>
      <c r="Y296" s="702">
        <f t="shared" si="149"/>
        <v>65.086601069390213</v>
      </c>
      <c r="AA296" s="174">
        <f t="shared" si="150"/>
        <v>1000000000</v>
      </c>
      <c r="AB296" s="174">
        <f t="shared" si="151"/>
        <v>393595840.5625</v>
      </c>
      <c r="AD296" s="701">
        <f t="shared" si="152"/>
        <v>27.580615165199191</v>
      </c>
      <c r="AE296" s="702">
        <f t="shared" si="153"/>
        <v>-9.5179197444617216</v>
      </c>
      <c r="AG296" s="701">
        <f t="shared" si="154"/>
        <v>1.5054307136956968</v>
      </c>
      <c r="AH296" s="702">
        <f t="shared" si="155"/>
        <v>-77.10992240313935</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5">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1.0035962525042337</v>
      </c>
      <c r="N297" s="694">
        <f t="shared" si="142"/>
        <v>-8.4681851047162401E-2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3.2896114689877267</v>
      </c>
      <c r="X297" s="699">
        <f t="shared" si="148"/>
        <v>-115.04443446970926</v>
      </c>
      <c r="Y297" s="702">
        <f t="shared" si="149"/>
        <v>64.955565530290741</v>
      </c>
      <c r="AA297" s="174">
        <f t="shared" si="150"/>
        <v>1000000000</v>
      </c>
      <c r="AB297" s="174">
        <f t="shared" si="151"/>
        <v>398122209</v>
      </c>
      <c r="AD297" s="701">
        <f t="shared" si="152"/>
        <v>27.579903712239226</v>
      </c>
      <c r="AE297" s="702">
        <f t="shared" si="153"/>
        <v>-9.5286247135659856</v>
      </c>
      <c r="AG297" s="701">
        <f t="shared" si="154"/>
        <v>1.4582357057045747</v>
      </c>
      <c r="AH297" s="702">
        <f t="shared" si="155"/>
        <v>-77.071269165329838</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5">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1.0036381128369576</v>
      </c>
      <c r="N298" s="694">
        <f t="shared" si="142"/>
        <v>-8.517179208966684E-2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3.2370128270553056</v>
      </c>
      <c r="X298" s="699">
        <f t="shared" si="148"/>
        <v>-115.1780851320803</v>
      </c>
      <c r="Y298" s="702">
        <f t="shared" si="149"/>
        <v>64.821914867919702</v>
      </c>
      <c r="AA298" s="174">
        <f t="shared" si="150"/>
        <v>1000000000</v>
      </c>
      <c r="AB298" s="174">
        <f t="shared" si="151"/>
        <v>402764761</v>
      </c>
      <c r="AD298" s="701">
        <f t="shared" si="152"/>
        <v>27.579179173986152</v>
      </c>
      <c r="AE298" s="702">
        <f t="shared" si="153"/>
        <v>-9.539790219336556</v>
      </c>
      <c r="AG298" s="701">
        <f t="shared" si="154"/>
        <v>1.4104084372366568</v>
      </c>
      <c r="AH298" s="702">
        <f t="shared" si="155"/>
        <v>-77.03168037268253</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5">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1.0036802140650776</v>
      </c>
      <c r="N299" s="694">
        <f t="shared" si="142"/>
        <v>-8.5661692146788301E-2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3.1846942721720546</v>
      </c>
      <c r="X299" s="699">
        <f t="shared" si="148"/>
        <v>-115.31175809986084</v>
      </c>
      <c r="Y299" s="702">
        <f t="shared" si="149"/>
        <v>64.688241900139161</v>
      </c>
      <c r="AA299" s="174">
        <f t="shared" si="150"/>
        <v>1000000000</v>
      </c>
      <c r="AB299" s="174">
        <f t="shared" si="151"/>
        <v>407434225</v>
      </c>
      <c r="AD299" s="701">
        <f t="shared" si="152"/>
        <v>27.578455546160079</v>
      </c>
      <c r="AE299" s="702">
        <f t="shared" si="153"/>
        <v>-9.5512025867533907</v>
      </c>
      <c r="AG299" s="701">
        <f t="shared" si="154"/>
        <v>1.3628820623569022</v>
      </c>
      <c r="AH299" s="702">
        <f t="shared" si="155"/>
        <v>-76.991922418671408</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5">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1.0037225561582812</v>
      </c>
      <c r="N300" s="694">
        <f t="shared" si="142"/>
        <v>-8.6151550988545031E-2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3.1326524589701048</v>
      </c>
      <c r="X300" s="699">
        <f t="shared" si="148"/>
        <v>-115.44545225441861</v>
      </c>
      <c r="Y300" s="702">
        <f t="shared" si="149"/>
        <v>64.554547745581388</v>
      </c>
      <c r="AA300" s="174">
        <f t="shared" si="150"/>
        <v>1000000000</v>
      </c>
      <c r="AB300" s="174">
        <f t="shared" si="151"/>
        <v>412130601</v>
      </c>
      <c r="AD300" s="701">
        <f t="shared" si="152"/>
        <v>27.577732744047083</v>
      </c>
      <c r="AE300" s="702">
        <f t="shared" si="153"/>
        <v>-9.5628575213107947</v>
      </c>
      <c r="AG300" s="701">
        <f t="shared" si="154"/>
        <v>1.3156532918120136</v>
      </c>
      <c r="AH300" s="702">
        <f t="shared" si="155"/>
        <v>-76.951998747091849</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5">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1.0037651390860864</v>
      </c>
      <c r="N301" s="694">
        <f t="shared" si="142"/>
        <v>-8.6641368385073039E-2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3.0808840999596128</v>
      </c>
      <c r="X301" s="699">
        <f t="shared" si="148"/>
        <v>-115.57916649878401</v>
      </c>
      <c r="Y301" s="702">
        <f t="shared" si="149"/>
        <v>64.420833501215995</v>
      </c>
      <c r="AA301" s="174">
        <f t="shared" si="150"/>
        <v>1000000000</v>
      </c>
      <c r="AB301" s="174">
        <f t="shared" si="151"/>
        <v>416853889</v>
      </c>
      <c r="AD301" s="701">
        <f t="shared" si="152"/>
        <v>27.577010685356647</v>
      </c>
      <c r="AE301" s="702">
        <f t="shared" si="153"/>
        <v>-9.574750824941983</v>
      </c>
      <c r="AG301" s="701">
        <f t="shared" si="154"/>
        <v>1.2687188916824956</v>
      </c>
      <c r="AH301" s="702">
        <f t="shared" si="155"/>
        <v>-76.911912726132016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5">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1.0038090735222471</v>
      </c>
      <c r="N302" s="694">
        <f t="shared" si="142"/>
        <v>-8.7143810165220437E-2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3.028057671938162</v>
      </c>
      <c r="X302" s="699">
        <f t="shared" si="148"/>
        <v>-115.71635861854429</v>
      </c>
      <c r="Y302" s="702">
        <f t="shared" si="149"/>
        <v>64.283641381455709</v>
      </c>
      <c r="AA302" s="174">
        <f t="shared" si="150"/>
        <v>1000000000</v>
      </c>
      <c r="AB302" s="174">
        <f t="shared" si="151"/>
        <v>421727296</v>
      </c>
      <c r="AD302" s="701">
        <f t="shared" si="152"/>
        <v>27.576270641468092</v>
      </c>
      <c r="AE302" s="702">
        <f t="shared" si="153"/>
        <v>-9.5871951088116312</v>
      </c>
      <c r="AG302" s="701">
        <f t="shared" si="154"/>
        <v>1.220873226893348</v>
      </c>
      <c r="AH302" s="702">
        <f t="shared" si="155"/>
        <v>-76.870624748655729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5">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1.0038532613455236</v>
      </c>
      <c r="N303" s="694">
        <f t="shared" si="142"/>
        <v>-8.764620783901253E-2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2.975512197512673</v>
      </c>
      <c r="X303" s="699">
        <f t="shared" si="148"/>
        <v>-115.85356960939015</v>
      </c>
      <c r="Y303" s="702">
        <f t="shared" si="149"/>
        <v>64.146430390609851</v>
      </c>
      <c r="AA303" s="174">
        <f t="shared" si="150"/>
        <v>1000000000</v>
      </c>
      <c r="AB303" s="174">
        <f t="shared" si="151"/>
        <v>426629025</v>
      </c>
      <c r="AD303" s="701">
        <f t="shared" si="152"/>
        <v>27.575531211987091</v>
      </c>
      <c r="AE303" s="702">
        <f t="shared" si="153"/>
        <v>-9.5998816002190495</v>
      </c>
      <c r="AG303" s="701">
        <f t="shared" si="154"/>
        <v>1.1733306341336156</v>
      </c>
      <c r="AH303" s="702">
        <f t="shared" si="155"/>
        <v>-76.829172861682835</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5">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1.0038977025224565</v>
      </c>
      <c r="N304" s="694">
        <f t="shared" si="142"/>
        <v>-8.8148561158676517E-2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2.9232443087643252</v>
      </c>
      <c r="X304" s="699">
        <f t="shared" si="148"/>
        <v>-115.99079835429548</v>
      </c>
      <c r="Y304" s="702">
        <f t="shared" si="149"/>
        <v>64.009201645704522</v>
      </c>
      <c r="AA304" s="174">
        <f t="shared" si="150"/>
        <v>1000000000</v>
      </c>
      <c r="AB304" s="174">
        <f t="shared" si="151"/>
        <v>431559076</v>
      </c>
      <c r="AD304" s="701">
        <f t="shared" si="152"/>
        <v>27.574792315497323</v>
      </c>
      <c r="AE304" s="702">
        <f t="shared" si="153"/>
        <v>-9.6128060657703429</v>
      </c>
      <c r="AG304" s="701">
        <f t="shared" si="154"/>
        <v>1.1260877955023425</v>
      </c>
      <c r="AH304" s="702">
        <f t="shared" si="155"/>
        <v>-76.787560467185557</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5">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1.0039423970194001</v>
      </c>
      <c r="N305" s="694">
        <f t="shared" si="142"/>
        <v>-8.8650869876572946E-2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2.8712506961995334</v>
      </c>
      <c r="X305" s="699">
        <f t="shared" si="148"/>
        <v>-116.12804375772846</v>
      </c>
      <c r="Y305" s="702">
        <f t="shared" si="149"/>
        <v>63.871956242271537</v>
      </c>
      <c r="AA305" s="174">
        <f t="shared" si="150"/>
        <v>1000000000</v>
      </c>
      <c r="AB305" s="174">
        <f t="shared" si="151"/>
        <v>436517449</v>
      </c>
      <c r="AD305" s="701">
        <f t="shared" si="152"/>
        <v>27.574053872922608</v>
      </c>
      <c r="AE305" s="702">
        <f t="shared" si="153"/>
        <v>-9.6259643673637978</v>
      </c>
      <c r="AG305" s="701">
        <f t="shared" si="154"/>
        <v>1.0791414490527602</v>
      </c>
      <c r="AH305" s="702">
        <f t="shared" si="155"/>
        <v>-76.745790892402113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5">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1.003988386505785</v>
      </c>
      <c r="N306" s="694">
        <f t="shared" si="142"/>
        <v>-8.916474015117247E-2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2.8183360158592805</v>
      </c>
      <c r="X306" s="699">
        <f t="shared" si="148"/>
        <v>-116.26847691845826</v>
      </c>
      <c r="Y306" s="702">
        <f t="shared" si="149"/>
        <v>63.731523081541738</v>
      </c>
      <c r="AA306" s="174">
        <f t="shared" si="150"/>
        <v>1000000000</v>
      </c>
      <c r="AB306" s="174">
        <f t="shared" si="151"/>
        <v>441619717.5625</v>
      </c>
      <c r="AD306" s="701">
        <f t="shared" si="152"/>
        <v>27.573298755172068</v>
      </c>
      <c r="AE306" s="702">
        <f t="shared" si="153"/>
        <v>-9.6396645329934909</v>
      </c>
      <c r="AG306" s="701">
        <f t="shared" si="154"/>
        <v>1.0314137124316438</v>
      </c>
      <c r="AH306" s="702">
        <f t="shared" si="155"/>
        <v>-76.702896777405329</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5">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1.0040346410836849</v>
      </c>
      <c r="N307" s="694">
        <f t="shared" si="142"/>
        <v>-8.9678563214764653E-2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2.7657016078567946</v>
      </c>
      <c r="X307" s="699">
        <f t="shared" si="148"/>
        <v>-116.40892526294756</v>
      </c>
      <c r="Y307" s="702">
        <f t="shared" si="149"/>
        <v>63.591074737052438</v>
      </c>
      <c r="AA307" s="174">
        <f t="shared" si="150"/>
        <v>1000000000</v>
      </c>
      <c r="AB307" s="174">
        <f t="shared" si="151"/>
        <v>446751632.25</v>
      </c>
      <c r="AD307" s="701">
        <f t="shared" si="152"/>
        <v>27.57254395226385</v>
      </c>
      <c r="AE307" s="702">
        <f t="shared" si="153"/>
        <v>-9.6536009978535162</v>
      </c>
      <c r="AG307" s="701">
        <f t="shared" si="154"/>
        <v>0.98398959590941038</v>
      </c>
      <c r="AH307" s="702">
        <f t="shared" si="155"/>
        <v>-76.659844949022684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5">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1.0040811607164646</v>
      </c>
      <c r="N308" s="694">
        <f t="shared" si="142"/>
        <v>-9.019233880257975E-2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2.7133441091934083</v>
      </c>
      <c r="X308" s="699">
        <f t="shared" si="148"/>
        <v>-116.54938768406669</v>
      </c>
      <c r="Y308" s="702">
        <f t="shared" si="149"/>
        <v>63.450612315933313</v>
      </c>
      <c r="AA308" s="174">
        <f t="shared" si="150"/>
        <v>1000000000</v>
      </c>
      <c r="AB308" s="174">
        <f t="shared" si="151"/>
        <v>451913193.0625</v>
      </c>
      <c r="AD308" s="701">
        <f t="shared" si="152"/>
        <v>27.571789386614171</v>
      </c>
      <c r="AE308" s="702">
        <f t="shared" si="153"/>
        <v>-9.6677696228054497</v>
      </c>
      <c r="AG308" s="701">
        <f t="shared" si="154"/>
        <v>0.93686577988519426</v>
      </c>
      <c r="AH308" s="702">
        <f t="shared" si="155"/>
        <v>-76.616638741070517</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5">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1.0041279453672851</v>
      </c>
      <c r="N309" s="694">
        <f t="shared" si="142"/>
        <v>-9.0706066649997252E-2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2.6612602152133054</v>
      </c>
      <c r="X309" s="699">
        <f t="shared" si="148"/>
        <v>-116.68986309578577</v>
      </c>
      <c r="Y309" s="702">
        <f t="shared" si="149"/>
        <v>63.310136904214232</v>
      </c>
      <c r="AA309" s="174">
        <f t="shared" si="150"/>
        <v>1000000000</v>
      </c>
      <c r="AB309" s="174">
        <f t="shared" si="151"/>
        <v>457104400</v>
      </c>
      <c r="AD309" s="701">
        <f t="shared" si="152"/>
        <v>27.571034982874462</v>
      </c>
      <c r="AE309" s="702">
        <f t="shared" si="153"/>
        <v>-9.6821663618473064</v>
      </c>
      <c r="AG309" s="701">
        <f t="shared" si="154"/>
        <v>0.89003900072580966</v>
      </c>
      <c r="AH309" s="702">
        <f t="shared" si="155"/>
        <v>-76.573281414290108</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5">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1.0041760607816981</v>
      </c>
      <c r="N310" s="694">
        <f t="shared" si="142"/>
        <v>-9.1231348560873504E-2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2.6082794492956718</v>
      </c>
      <c r="X310" s="699">
        <f t="shared" si="148"/>
        <v>-116.83352378741399</v>
      </c>
      <c r="Y310" s="702">
        <f t="shared" si="149"/>
        <v>63.166476212586005</v>
      </c>
      <c r="AA310" s="174">
        <f t="shared" si="150"/>
        <v>1000000000</v>
      </c>
      <c r="AB310" s="174">
        <f t="shared" si="151"/>
        <v>462443520.25</v>
      </c>
      <c r="AD310" s="701">
        <f t="shared" si="152"/>
        <v>27.570263630407105</v>
      </c>
      <c r="AE310" s="702">
        <f t="shared" si="153"/>
        <v>-9.6971200641152109</v>
      </c>
      <c r="AG310" s="701">
        <f t="shared" si="154"/>
        <v>0.84245836589157397</v>
      </c>
      <c r="AH310" s="702">
        <f t="shared" si="155"/>
        <v>-76.528791809507609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5">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1.004224453242865</v>
      </c>
      <c r="N311" s="694">
        <f t="shared" si="142"/>
        <v>-9.1756579991156703E-2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2.5555779793332993</v>
      </c>
      <c r="X311" s="699">
        <f t="shared" si="148"/>
        <v>-116.97719583127274</v>
      </c>
      <c r="Y311" s="702">
        <f t="shared" si="149"/>
        <v>63.022804168727262</v>
      </c>
      <c r="AA311" s="174">
        <f t="shared" si="150"/>
        <v>1000000000</v>
      </c>
      <c r="AB311" s="174">
        <f t="shared" si="151"/>
        <v>467813641</v>
      </c>
      <c r="AD311" s="701">
        <f t="shared" si="152"/>
        <v>27.569492294718792</v>
      </c>
      <c r="AE311" s="702">
        <f t="shared" si="153"/>
        <v>-9.712304031477375</v>
      </c>
      <c r="AG311" s="701">
        <f t="shared" si="154"/>
        <v>0.79518160917177982</v>
      </c>
      <c r="AH311" s="702">
        <f t="shared" si="155"/>
        <v>-76.484150853347856</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5">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1.0042731227107358</v>
      </c>
      <c r="N312" s="694">
        <f t="shared" si="142"/>
        <v>-9.2281760658376205E-2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2.5031524523499451</v>
      </c>
      <c r="X312" s="699">
        <f t="shared" si="148"/>
        <v>-117.12087813087075</v>
      </c>
      <c r="Y312" s="702">
        <f t="shared" si="149"/>
        <v>62.87912186912925</v>
      </c>
      <c r="AA312" s="174">
        <f t="shared" si="150"/>
        <v>1000000000</v>
      </c>
      <c r="AB312" s="174">
        <f t="shared" si="151"/>
        <v>473214762.25</v>
      </c>
      <c r="AD312" s="701">
        <f t="shared" si="152"/>
        <v>27.568720902010956</v>
      </c>
      <c r="AE312" s="702">
        <f t="shared" si="153"/>
        <v>-9.7277142229299525</v>
      </c>
      <c r="AG312" s="701">
        <f t="shared" si="154"/>
        <v>0.7482054142357859</v>
      </c>
      <c r="AH312" s="702">
        <f t="shared" si="155"/>
        <v>-76.43936180854918</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5">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1.0043220691450392</v>
      </c>
      <c r="N313" s="694">
        <f t="shared" si="142"/>
        <v>-9.2806890280227969E-2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2.4509995735154524</v>
      </c>
      <c r="X313" s="699">
        <f t="shared" si="148"/>
        <v>-117.26456961039422</v>
      </c>
      <c r="Y313" s="702">
        <f t="shared" si="149"/>
        <v>62.735430389605781</v>
      </c>
      <c r="AA313" s="174">
        <f t="shared" si="150"/>
        <v>1000000000</v>
      </c>
      <c r="AB313" s="174">
        <f t="shared" si="151"/>
        <v>478646884</v>
      </c>
      <c r="AD313" s="701">
        <f t="shared" si="152"/>
        <v>27.567949380615833</v>
      </c>
      <c r="AE313" s="702">
        <f t="shared" si="153"/>
        <v>-9.7433466883142668</v>
      </c>
      <c r="AG313" s="701">
        <f t="shared" si="154"/>
        <v>0.70152652061932097</v>
      </c>
      <c r="AH313" s="702">
        <f t="shared" si="155"/>
        <v>-76.394427866532865</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5">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1.0043723828939251</v>
      </c>
      <c r="N314" s="694">
        <f t="shared" si="142"/>
        <v>-9.3343566107973883E-2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2.3979731012443311</v>
      </c>
      <c r="X314" s="699">
        <f t="shared" si="148"/>
        <v>-117.41144338557162</v>
      </c>
      <c r="Y314" s="702">
        <f t="shared" si="149"/>
        <v>62.588556614428384</v>
      </c>
      <c r="AA314" s="174">
        <f t="shared" si="150"/>
        <v>1000000000</v>
      </c>
      <c r="AB314" s="174">
        <f t="shared" si="151"/>
        <v>484231027.5625</v>
      </c>
      <c r="AD314" s="701">
        <f t="shared" si="152"/>
        <v>27.567160612151142</v>
      </c>
      <c r="AE314" s="702">
        <f t="shared" si="153"/>
        <v>-9.7595501221248284</v>
      </c>
      <c r="AG314" s="701">
        <f t="shared" si="154"/>
        <v>0.65412045435719979</v>
      </c>
      <c r="AH314" s="702">
        <f t="shared" si="155"/>
        <v>-76.348354924014671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5">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1.0044229858940628</v>
      </c>
      <c r="N315" s="694">
        <f t="shared" si="142"/>
        <v>-9.3880188014627039E-2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2.3452246749990842</v>
      </c>
      <c r="X315" s="699">
        <f t="shared" si="148"/>
        <v>-117.55832454185443</v>
      </c>
      <c r="Y315" s="702">
        <f t="shared" si="149"/>
        <v>62.441675458145568</v>
      </c>
      <c r="AA315" s="174">
        <f t="shared" si="150"/>
        <v>1000000000</v>
      </c>
      <c r="AB315" s="174">
        <f t="shared" si="151"/>
        <v>489847556.25</v>
      </c>
      <c r="AD315" s="701">
        <f t="shared" si="152"/>
        <v>27.566371564365721</v>
      </c>
      <c r="AE315" s="702">
        <f t="shared" si="153"/>
        <v>-9.7759776927868174</v>
      </c>
      <c r="AG315" s="701">
        <f t="shared" si="154"/>
        <v>0.60701825403247522</v>
      </c>
      <c r="AH315" s="702">
        <f t="shared" si="155"/>
        <v>-76.302137134629064</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5">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1.0044738781017373</v>
      </c>
      <c r="N316" s="694">
        <f t="shared" si="142"/>
        <v>-9.4416755699305521E-2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2.2927509565577684</v>
      </c>
      <c r="X316" s="699">
        <f t="shared" si="148"/>
        <v>-117.70521199396701</v>
      </c>
      <c r="Y316" s="702">
        <f t="shared" si="149"/>
        <v>62.294788006032988</v>
      </c>
      <c r="AA316" s="174">
        <f t="shared" si="150"/>
        <v>1000000000</v>
      </c>
      <c r="AB316" s="174">
        <f t="shared" si="151"/>
        <v>495496470.0625</v>
      </c>
      <c r="AD316" s="701">
        <f t="shared" si="152"/>
        <v>27.5655821671822</v>
      </c>
      <c r="AE316" s="702">
        <f t="shared" si="153"/>
        <v>-9.7926254604733707</v>
      </c>
      <c r="AG316" s="701">
        <f t="shared" si="154"/>
        <v>0.56021661119560151</v>
      </c>
      <c r="AH316" s="702">
        <f t="shared" si="155"/>
        <v>-76.255777687738089</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5">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1.004525059472992</v>
      </c>
      <c r="N317" s="694">
        <f t="shared" si="142"/>
        <v>-9.4953268861313181E-2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2.2405486655425015</v>
      </c>
      <c r="X317" s="699">
        <f t="shared" si="148"/>
        <v>-117.85210467686679</v>
      </c>
      <c r="Y317" s="702">
        <f t="shared" si="149"/>
        <v>62.147895323133213</v>
      </c>
      <c r="AA317" s="174">
        <f t="shared" si="150"/>
        <v>1000000000</v>
      </c>
      <c r="AB317" s="174">
        <f t="shared" si="151"/>
        <v>501177769</v>
      </c>
      <c r="AD317" s="701">
        <f t="shared" si="152"/>
        <v>27.564792352550857</v>
      </c>
      <c r="AE317" s="702">
        <f t="shared" si="153"/>
        <v>-9.809489573801228</v>
      </c>
      <c r="AG317" s="701">
        <f t="shared" si="154"/>
        <v>0.51371227305503664</v>
      </c>
      <c r="AH317" s="702">
        <f t="shared" si="155"/>
        <v>-76.20927970322407</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5">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1.0045778483201167</v>
      </c>
      <c r="N318" s="694">
        <f t="shared" si="142"/>
        <v>-9.5503427773030253E-2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2.1872916515593026</v>
      </c>
      <c r="X318" s="699">
        <f t="shared" si="148"/>
        <v>-118.00275337732353</v>
      </c>
      <c r="Y318" s="702">
        <f t="shared" si="149"/>
        <v>61.997246622676471</v>
      </c>
      <c r="AA318" s="174">
        <f t="shared" si="150"/>
        <v>1000000000</v>
      </c>
      <c r="AB318" s="174">
        <f t="shared" si="151"/>
        <v>507037806.25</v>
      </c>
      <c r="AD318" s="701">
        <f t="shared" si="152"/>
        <v>27.563981863044802</v>
      </c>
      <c r="AE318" s="702">
        <f t="shared" si="153"/>
        <v>-9.8270051620790486</v>
      </c>
      <c r="AG318" s="701">
        <f t="shared" si="154"/>
        <v>0.46632564297429202</v>
      </c>
      <c r="AH318" s="702">
        <f t="shared" si="155"/>
        <v>-76.161453453973394</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5">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1.0046309411956611</v>
      </c>
      <c r="N319" s="694">
        <f t="shared" si="142"/>
        <v>-9.6053528701485216E-2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2.1343132994357421</v>
      </c>
      <c r="X319" s="699">
        <f t="shared" si="148"/>
        <v>-118.15340537325092</v>
      </c>
      <c r="Y319" s="702">
        <f t="shared" si="149"/>
        <v>61.846594626749081</v>
      </c>
      <c r="AA319" s="174">
        <f t="shared" si="150"/>
        <v>1000000000</v>
      </c>
      <c r="AB319" s="174">
        <f t="shared" si="151"/>
        <v>512931904</v>
      </c>
      <c r="AD319" s="701">
        <f t="shared" si="152"/>
        <v>27.563170795778564</v>
      </c>
      <c r="AE319" s="702">
        <f t="shared" si="153"/>
        <v>-9.844740358227531</v>
      </c>
      <c r="AG319" s="701">
        <f t="shared" si="154"/>
        <v>0.419244942738981</v>
      </c>
      <c r="AH319" s="702">
        <f t="shared" si="155"/>
        <v>-76.113487930620039</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5">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1.0046843380514261</v>
      </c>
      <c r="N320" s="694">
        <f t="shared" si="142"/>
        <v>-9.6603571322963808E-2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2.0816102519663828</v>
      </c>
      <c r="X320" s="699">
        <f t="shared" si="148"/>
        <v>-118.30405957870119</v>
      </c>
      <c r="Y320" s="702">
        <f t="shared" si="149"/>
        <v>61.695940421298815</v>
      </c>
      <c r="AA320" s="174">
        <f t="shared" si="150"/>
        <v>1000000000</v>
      </c>
      <c r="AB320" s="174">
        <f t="shared" si="151"/>
        <v>518860062.25</v>
      </c>
      <c r="AD320" s="701">
        <f t="shared" si="152"/>
        <v>27.562359083560118</v>
      </c>
      <c r="AE320" s="702">
        <f t="shared" si="153"/>
        <v>-9.8626912819422117</v>
      </c>
      <c r="AG320" s="701">
        <f t="shared" si="154"/>
        <v>0.37246683818073378</v>
      </c>
      <c r="AH320" s="702">
        <f t="shared" si="155"/>
        <v>-76.065386283090419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5">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1.0047380388389464</v>
      </c>
      <c r="N321" s="694">
        <f t="shared" si="142"/>
        <v>-9.7153555313961457E-2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2.0291792102696231</v>
      </c>
      <c r="X321" s="699">
        <f t="shared" si="148"/>
        <v>-118.4547149278002</v>
      </c>
      <c r="Y321" s="702">
        <f t="shared" si="149"/>
        <v>61.545285072199803</v>
      </c>
      <c r="AA321" s="174">
        <f t="shared" si="150"/>
        <v>1000000000</v>
      </c>
      <c r="AB321" s="174">
        <f t="shared" si="151"/>
        <v>524822281</v>
      </c>
      <c r="AD321" s="701">
        <f t="shared" si="152"/>
        <v>27.561546661153088</v>
      </c>
      <c r="AE321" s="702">
        <f t="shared" si="153"/>
        <v>-9.8808541401852743</v>
      </c>
      <c r="AG321" s="701">
        <f t="shared" si="154"/>
        <v>0.32598805132910275</v>
      </c>
      <c r="AH321" s="702">
        <f t="shared" si="155"/>
        <v>-76.017151592698241</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5">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1.0047931848078968</v>
      </c>
      <c r="N322" s="694">
        <f t="shared" si="142"/>
        <v>-9.7715068173231251E-2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1.9759205956539749</v>
      </c>
      <c r="X322" s="699">
        <f t="shared" si="148"/>
        <v>-118.60854509941008</v>
      </c>
      <c r="Y322" s="702">
        <f t="shared" si="149"/>
        <v>61.39145490058992</v>
      </c>
      <c r="AA322" s="174">
        <f t="shared" si="150"/>
        <v>1000000000</v>
      </c>
      <c r="AB322" s="174">
        <f t="shared" si="151"/>
        <v>530945285.0625</v>
      </c>
      <c r="AD322" s="701">
        <f t="shared" si="152"/>
        <v>27.560716320126932</v>
      </c>
      <c r="AE322" s="702">
        <f t="shared" si="153"/>
        <v>-9.8996145686308683</v>
      </c>
      <c r="AG322" s="701">
        <f t="shared" si="154"/>
        <v>0.2788353231010659</v>
      </c>
      <c r="AH322" s="702">
        <f t="shared" si="155"/>
        <v>-75.967766316755217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5">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1.0048486475499829</v>
      </c>
      <c r="N323" s="694">
        <f t="shared" si="142"/>
        <v>-9.8276519223968725E-2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1.9229388004048944</v>
      </c>
      <c r="X323" s="699">
        <f t="shared" si="148"/>
        <v>-118.76237427911668</v>
      </c>
      <c r="Y323" s="702">
        <f t="shared" si="149"/>
        <v>61.237625720883315</v>
      </c>
      <c r="AA323" s="174">
        <f t="shared" si="150"/>
        <v>1000000000</v>
      </c>
      <c r="AB323" s="174">
        <f t="shared" si="151"/>
        <v>537103800.25</v>
      </c>
      <c r="AD323" s="701">
        <f t="shared" si="152"/>
        <v>27.559885107156163</v>
      </c>
      <c r="AE323" s="702">
        <f t="shared" si="153"/>
        <v>-9.9185882330056234</v>
      </c>
      <c r="AG323" s="701">
        <f t="shared" si="154"/>
        <v>0.23198792695258791</v>
      </c>
      <c r="AH323" s="702">
        <f t="shared" si="155"/>
        <v>-75.918248613958468</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5">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1.0049044270127541</v>
      </c>
      <c r="N324" s="694">
        <f t="shared" si="142"/>
        <v>-9.8837908122467941E-2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1.8702304923858495</v>
      </c>
      <c r="X324" s="699">
        <f t="shared" si="148"/>
        <v>-118.91620139360758</v>
      </c>
      <c r="Y324" s="702">
        <f t="shared" si="149"/>
        <v>61.083798606392421</v>
      </c>
      <c r="AA324" s="174">
        <f t="shared" si="150"/>
        <v>1000000000</v>
      </c>
      <c r="AB324" s="174">
        <f t="shared" si="151"/>
        <v>543297826.5625</v>
      </c>
      <c r="AD324" s="701">
        <f t="shared" si="152"/>
        <v>27.559052958687367</v>
      </c>
      <c r="AE324" s="702">
        <f t="shared" si="153"/>
        <v>-9.9377713614133683</v>
      </c>
      <c r="AG324" s="701">
        <f t="shared" si="154"/>
        <v>0.18544254657310211</v>
      </c>
      <c r="AH324" s="702">
        <f t="shared" si="155"/>
        <v>-75.868601555291903</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5">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1.0049605231434728</v>
      </c>
      <c r="N325" s="694">
        <f t="shared" si="142"/>
        <v>-9.9399234525255786E-2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1.8177923972516319</v>
      </c>
      <c r="X325" s="699">
        <f t="shared" si="148"/>
        <v>-119.07002538915063</v>
      </c>
      <c r="Y325" s="702">
        <f t="shared" si="149"/>
        <v>60.929974610849371</v>
      </c>
      <c r="AA325" s="174">
        <f t="shared" si="150"/>
        <v>1000000000</v>
      </c>
      <c r="AB325" s="174">
        <f t="shared" si="151"/>
        <v>549527364</v>
      </c>
      <c r="AD325" s="701">
        <f t="shared" si="152"/>
        <v>27.558219813020735</v>
      </c>
      <c r="AE325" s="702">
        <f t="shared" si="153"/>
        <v>-9.9571602665700993</v>
      </c>
      <c r="AG325" s="701">
        <f t="shared" si="154"/>
        <v>0.13919592141016424</v>
      </c>
      <c r="AH325" s="702">
        <f t="shared" si="155"/>
        <v>-75.818828145146654</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5">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1.005018315764622</v>
      </c>
      <c r="N326" s="694">
        <f t="shared" si="142"/>
        <v>-9.9974186656397082E-2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1.7643521399537021</v>
      </c>
      <c r="X326" s="699">
        <f t="shared" si="148"/>
        <v>-119.22759687404479</v>
      </c>
      <c r="Y326" s="702">
        <f t="shared" si="149"/>
        <v>60.772403125955208</v>
      </c>
      <c r="AA326" s="174">
        <f t="shared" si="150"/>
        <v>1000000000</v>
      </c>
      <c r="AB326" s="174">
        <f t="shared" si="151"/>
        <v>555945662.25</v>
      </c>
      <c r="AD326" s="701">
        <f t="shared" si="152"/>
        <v>27.557365250138901</v>
      </c>
      <c r="AE326" s="702">
        <f t="shared" si="153"/>
        <v>-9.9772316703369572</v>
      </c>
      <c r="AG326" s="701">
        <f t="shared" si="154"/>
        <v>9.2127752946506658E-2</v>
      </c>
      <c r="AH326" s="702">
        <f t="shared" si="155"/>
        <v>-75.767712810160702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5">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1.0050764405763579</v>
      </c>
      <c r="N327" s="694">
        <f t="shared" si="142"/>
        <v>-0.10054907247717657</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1.7111886618109899</v>
      </c>
      <c r="X327" s="699">
        <f t="shared" si="148"/>
        <v>-119.38516290826284</v>
      </c>
      <c r="Y327" s="702">
        <f t="shared" si="149"/>
        <v>60.614837091737158</v>
      </c>
      <c r="AA327" s="174">
        <f t="shared" si="150"/>
        <v>1000000000</v>
      </c>
      <c r="AB327" s="174">
        <f t="shared" si="151"/>
        <v>562401225</v>
      </c>
      <c r="AD327" s="701">
        <f t="shared" si="152"/>
        <v>27.556509515447061</v>
      </c>
      <c r="AE327" s="702">
        <f t="shared" si="153"/>
        <v>-9.997511440091138</v>
      </c>
      <c r="AG327" s="701">
        <f t="shared" si="154"/>
        <v>4.5366338291641398E-2</v>
      </c>
      <c r="AH327" s="702">
        <f t="shared" si="155"/>
        <v>-75.716471061126697</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5">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1.0051348975210508</v>
      </c>
      <c r="N328" s="694">
        <f t="shared" si="142"/>
        <v>-0.10112389161913884</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1.6582986231264112</v>
      </c>
      <c r="X328" s="699">
        <f t="shared" si="148"/>
        <v>-119.54272241964269</v>
      </c>
      <c r="Y328" s="702">
        <f t="shared" si="149"/>
        <v>60.457277580357314</v>
      </c>
      <c r="AA328" s="174">
        <f t="shared" si="150"/>
        <v>1000000000</v>
      </c>
      <c r="AB328" s="174">
        <f t="shared" si="151"/>
        <v>568894052.25</v>
      </c>
      <c r="AD328" s="701">
        <f t="shared" si="152"/>
        <v>27.555652548271219</v>
      </c>
      <c r="AE328" s="702">
        <f t="shared" si="153"/>
        <v>-10.017995872999327</v>
      </c>
      <c r="AG328" s="701">
        <f t="shared" si="154"/>
        <v>-1.0916536521513398E-3</v>
      </c>
      <c r="AH328" s="702">
        <f t="shared" si="155"/>
        <v>-75.665105922229017</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5">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1.0051936865407554</v>
      </c>
      <c r="N329" s="694">
        <f t="shared" si="142"/>
        <v>-0.10169864371409019</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1.6056787422186889</v>
      </c>
      <c r="X329" s="699">
        <f t="shared" si="148"/>
        <v>-119.70027435538266</v>
      </c>
      <c r="Y329" s="702">
        <f t="shared" si="149"/>
        <v>60.29972564461734</v>
      </c>
      <c r="AA329" s="174">
        <f t="shared" si="150"/>
        <v>1000000000</v>
      </c>
      <c r="AB329" s="174">
        <f t="shared" si="151"/>
        <v>575424144</v>
      </c>
      <c r="AD329" s="701">
        <f t="shared" si="152"/>
        <v>27.55479428971741</v>
      </c>
      <c r="AE329" s="702">
        <f t="shared" si="153"/>
        <v>-10.038681349340679</v>
      </c>
      <c r="AG329" s="701">
        <f t="shared" si="154"/>
        <v>-4.7249497937957012E-2</v>
      </c>
      <c r="AH329" s="702">
        <f t="shared" si="155"/>
        <v>-75.613620352161377</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5">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1.0052542192671439</v>
      </c>
      <c r="N330" s="694">
        <f t="shared" si="142"/>
        <v>-0.10228701053798075</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1.5520825225964439</v>
      </c>
      <c r="X330" s="699">
        <f t="shared" si="148"/>
        <v>-119.86156859978306</v>
      </c>
      <c r="Y330" s="702">
        <f t="shared" si="149"/>
        <v>60.138431400216945</v>
      </c>
      <c r="AA330" s="174">
        <f t="shared" si="150"/>
        <v>1000000000</v>
      </c>
      <c r="AB330" s="174">
        <f t="shared" si="151"/>
        <v>582148320.0625</v>
      </c>
      <c r="AD330" s="701">
        <f t="shared" si="152"/>
        <v>27.553914198880062</v>
      </c>
      <c r="AE330" s="702">
        <f t="shared" si="153"/>
        <v>-10.06006392261907</v>
      </c>
      <c r="AG330" s="701">
        <f t="shared" si="154"/>
        <v>-9.4198748559331247E-2</v>
      </c>
      <c r="AH330" s="702">
        <f t="shared" si="155"/>
        <v>-75.560787191421824</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5">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1.0053150999459561</v>
      </c>
      <c r="N331" s="694">
        <f t="shared" si="142"/>
        <v>-0.10287530630392355</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1.498762697681737</v>
      </c>
      <c r="X331" s="699">
        <f t="shared" si="148"/>
        <v>-120.02285273015339</v>
      </c>
      <c r="Y331" s="702">
        <f t="shared" si="149"/>
        <v>59.977147269846611</v>
      </c>
      <c r="AA331" s="174">
        <f t="shared" si="150"/>
        <v>1000000000</v>
      </c>
      <c r="AB331" s="174">
        <f t="shared" si="151"/>
        <v>588911556.25</v>
      </c>
      <c r="AD331" s="701">
        <f t="shared" si="152"/>
        <v>27.553032634966534</v>
      </c>
      <c r="AE331" s="702">
        <f t="shared" si="153"/>
        <v>-10.081649805101437</v>
      </c>
      <c r="AG331" s="701">
        <f t="shared" si="154"/>
        <v>-0.14084016150951911</v>
      </c>
      <c r="AH331" s="702">
        <f t="shared" si="155"/>
        <v>-75.507833870247268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5">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1.0053763285139816</v>
      </c>
      <c r="N332" s="694">
        <f t="shared" si="142"/>
        <v>-0.10346353061765573</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1.4457159262240964</v>
      </c>
      <c r="X332" s="699">
        <f t="shared" si="148"/>
        <v>-120.18412567646885</v>
      </c>
      <c r="Y332" s="702">
        <f t="shared" si="149"/>
        <v>59.815874323531148</v>
      </c>
      <c r="AA332" s="174">
        <f t="shared" si="150"/>
        <v>1000000000</v>
      </c>
      <c r="AB332" s="174">
        <f t="shared" si="151"/>
        <v>595713852.5625</v>
      </c>
      <c r="AD332" s="701">
        <f t="shared" si="152"/>
        <v>27.552149540191554</v>
      </c>
      <c r="AE332" s="702">
        <f t="shared" si="153"/>
        <v>-10.103435368048043</v>
      </c>
      <c r="AG332" s="701">
        <f t="shared" si="154"/>
        <v>-0.18717707695468971</v>
      </c>
      <c r="AH332" s="702">
        <f t="shared" si="155"/>
        <v>-75.454763362088045</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5">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1.0054379049076634</v>
      </c>
      <c r="N333" s="694">
        <f t="shared" ref="N333:N396" si="174">-ATAN(G333/z_RHP)</f>
        <v>-0.10405168308520794</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1.3929389250797741</v>
      </c>
      <c r="X333" s="699">
        <f t="shared" ref="X333:X396" si="180">((L333+R333+N333+V333)-(J333+P333+T333))*radconv</f>
        <v>-120.34538638781287</v>
      </c>
      <c r="Y333" s="702">
        <f t="shared" ref="Y333:Y396" si="181">IF(X333&gt;0,X333,X333+180)</f>
        <v>59.654613612187134</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-0.2332127788627536</v>
      </c>
      <c r="AH333" s="702">
        <f t="shared" ref="AH333:AH396" si="187">(L333+N333-(J333+V333))*radconv</f>
        <v>-75.401578576128728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5">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1.0055012732970043</v>
      </c>
      <c r="N334" s="694">
        <f t="shared" si="174"/>
        <v>-0.10465343873458063</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1.3392104403374794</v>
      </c>
      <c r="X334" s="699">
        <f t="shared" si="180"/>
        <v>-120.51038360640447</v>
      </c>
      <c r="Y334" s="702">
        <f t="shared" si="181"/>
        <v>59.489616393595526</v>
      </c>
      <c r="AA334" s="174">
        <f t="shared" si="182"/>
        <v>1000000000</v>
      </c>
      <c r="AB334" s="174">
        <f t="shared" si="183"/>
        <v>609596100</v>
      </c>
      <c r="AD334" s="701">
        <f t="shared" si="184"/>
        <v>27.550357903264846</v>
      </c>
      <c r="AE334" s="702">
        <f t="shared" si="185"/>
        <v>-10.148109373156853</v>
      </c>
      <c r="AG334" s="701">
        <f t="shared" si="186"/>
        <v>-0.28001064418450999</v>
      </c>
      <c r="AH334" s="702">
        <f t="shared" si="187"/>
        <v>-75.347041608792011</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5">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1.0055650057423056</v>
      </c>
      <c r="N335" s="694">
        <f t="shared" si="174"/>
        <v>-0.10525511832357524</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1.2857576447209873</v>
      </c>
      <c r="X335" s="699">
        <f t="shared" si="180"/>
        <v>-120.67536584714765</v>
      </c>
      <c r="Y335" s="702">
        <f t="shared" si="181"/>
        <v>59.324634152852354</v>
      </c>
      <c r="AA335" s="174">
        <f t="shared" si="182"/>
        <v>1000000000</v>
      </c>
      <c r="AB335" s="174">
        <f t="shared" si="183"/>
        <v>616677889</v>
      </c>
      <c r="AD335" s="701">
        <f t="shared" si="184"/>
        <v>27.549449172865728</v>
      </c>
      <c r="AE335" s="702">
        <f t="shared" si="185"/>
        <v>-10.170999780449947</v>
      </c>
      <c r="AG335" s="701">
        <f t="shared" si="186"/>
        <v>-0.3264999052889761</v>
      </c>
      <c r="AH335" s="702">
        <f t="shared" si="187"/>
        <v>-75.292390951130614</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5">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1.0056291021743502</v>
      </c>
      <c r="N336" s="694">
        <f t="shared" si="174"/>
        <v>-0.10585672143105646</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1.2325772010640004</v>
      </c>
      <c r="X336" s="699">
        <f t="shared" si="180"/>
        <v>-120.84033204299905</v>
      </c>
      <c r="Y336" s="702">
        <f t="shared" si="181"/>
        <v>59.159667957000948</v>
      </c>
      <c r="AA336" s="174">
        <f t="shared" si="182"/>
        <v>1000000000</v>
      </c>
      <c r="AB336" s="174">
        <f t="shared" si="183"/>
        <v>623800576</v>
      </c>
      <c r="AD336" s="701">
        <f t="shared" si="184"/>
        <v>27.548538612373704</v>
      </c>
      <c r="AE336" s="702">
        <f t="shared" si="185"/>
        <v>-10.194084735587701</v>
      </c>
      <c r="AG336" s="701">
        <f t="shared" si="186"/>
        <v>-0.37268390605303192</v>
      </c>
      <c r="AH336" s="702">
        <f t="shared" si="187"/>
        <v>-75.237629522531691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5">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1.0056935625235437</v>
      </c>
      <c r="N337" s="694">
        <f t="shared" si="174"/>
        <v>-0.10645824763621742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1.1796658302724641</v>
      </c>
      <c r="X337" s="699">
        <f t="shared" si="180"/>
        <v>-121.00528114574743</v>
      </c>
      <c r="Y337" s="702">
        <f t="shared" si="181"/>
        <v>58.994718854252568</v>
      </c>
      <c r="AA337" s="174">
        <f t="shared" si="182"/>
        <v>1000000000</v>
      </c>
      <c r="AB337" s="174">
        <f t="shared" si="183"/>
        <v>630964161</v>
      </c>
      <c r="AD337" s="701">
        <f t="shared" si="184"/>
        <v>27.547626168515134</v>
      </c>
      <c r="AE337" s="702">
        <f t="shared" si="185"/>
        <v>-10.217360767748804</v>
      </c>
      <c r="AG337" s="701">
        <f t="shared" si="186"/>
        <v>-0.41856593412646459</v>
      </c>
      <c r="AH337" s="702">
        <f t="shared" si="187"/>
        <v>-75.182760179443292</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5">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1.0057598642251497</v>
      </c>
      <c r="N338" s="694">
        <f t="shared" si="174"/>
        <v>-0.10707336490943173</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1.1258268856711644</v>
      </c>
      <c r="X338" s="699">
        <f t="shared" si="180"/>
        <v>-121.17396033829311</v>
      </c>
      <c r="Y338" s="702">
        <f t="shared" si="181"/>
        <v>58.826039661706886</v>
      </c>
      <c r="AA338" s="174">
        <f t="shared" si="182"/>
        <v>1000000000</v>
      </c>
      <c r="AB338" s="174">
        <f t="shared" si="183"/>
        <v>638332857.5625</v>
      </c>
      <c r="AD338" s="701">
        <f t="shared" si="184"/>
        <v>27.546690985368024</v>
      </c>
      <c r="AE338" s="702">
        <f t="shared" si="185"/>
        <v>-10.241359904870981</v>
      </c>
      <c r="AG338" s="701">
        <f t="shared" si="186"/>
        <v>-0.46518175910438225</v>
      </c>
      <c r="AH338" s="702">
        <f t="shared" si="187"/>
        <v>-75.126535097384036</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5">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1.0058265464251173</v>
      </c>
      <c r="N339" s="694">
        <f t="shared" si="174"/>
        <v>-0.10768840085579548</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1.0722626261508086</v>
      </c>
      <c r="X339" s="699">
        <f t="shared" si="180"/>
        <v>-121.34261949242917</v>
      </c>
      <c r="Y339" s="702">
        <f t="shared" si="181"/>
        <v>58.657380507570835</v>
      </c>
      <c r="AA339" s="174">
        <f t="shared" si="182"/>
        <v>1000000000</v>
      </c>
      <c r="AB339" s="174">
        <f t="shared" si="183"/>
        <v>645744332.25</v>
      </c>
      <c r="AD339" s="701">
        <f t="shared" si="184"/>
        <v>27.545753724550138</v>
      </c>
      <c r="AE339" s="702">
        <f t="shared" si="185"/>
        <v>-10.265551805177939</v>
      </c>
      <c r="AG339" s="701">
        <f t="shared" si="186"/>
        <v>-0.51148851050306066</v>
      </c>
      <c r="AH339" s="702">
        <f t="shared" si="187"/>
        <v>-75.070202989243555</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5">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1.0058936090477753</v>
      </c>
      <c r="N340" s="694">
        <f t="shared" si="174"/>
        <v>-0.10830335502623066</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1.0189697238961335</v>
      </c>
      <c r="X340" s="699">
        <f t="shared" si="180"/>
        <v>-121.51125754481282</v>
      </c>
      <c r="Y340" s="702">
        <f t="shared" si="181"/>
        <v>58.488742455187179</v>
      </c>
      <c r="AA340" s="174">
        <f t="shared" si="182"/>
        <v>1000000000</v>
      </c>
      <c r="AB340" s="174">
        <f t="shared" si="183"/>
        <v>653198585.0625</v>
      </c>
      <c r="AD340" s="701">
        <f t="shared" si="184"/>
        <v>27.544814334016074</v>
      </c>
      <c r="AE340" s="702">
        <f t="shared" si="185"/>
        <v>-10.289932999905458</v>
      </c>
      <c r="AG340" s="701">
        <f t="shared" si="186"/>
        <v>-0.55748953091640496</v>
      </c>
      <c r="AH340" s="702">
        <f t="shared" si="187"/>
        <v>-75.013766717573162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5">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1.0059610520170403</v>
      </c>
      <c r="N341" s="694">
        <f t="shared" si="174"/>
        <v>-0.10891822697202606</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0.96594490901284646</v>
      </c>
      <c r="X341" s="699">
        <f t="shared" si="180"/>
        <v>-121.67987345063655</v>
      </c>
      <c r="Y341" s="702">
        <f t="shared" si="181"/>
        <v>58.320126549363451</v>
      </c>
      <c r="AA341" s="174">
        <f t="shared" si="182"/>
        <v>1000000000</v>
      </c>
      <c r="AB341" s="174">
        <f t="shared" si="183"/>
        <v>660695616</v>
      </c>
      <c r="AD341" s="701">
        <f t="shared" si="184"/>
        <v>27.543872763276443</v>
      </c>
      <c r="AE341" s="702">
        <f t="shared" si="185"/>
        <v>-10.314500097993838</v>
      </c>
      <c r="AG341" s="701">
        <f t="shared" si="186"/>
        <v>-0.60318810679914558</v>
      </c>
      <c r="AH341" s="702">
        <f t="shared" si="187"/>
        <v>-74.957229083396399</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5">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1.0060305030351782</v>
      </c>
      <c r="N342" s="694">
        <f t="shared" si="174"/>
        <v>-0.10954772813388602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0.91192555621540727</v>
      </c>
      <c r="X342" s="699">
        <f t="shared" si="180"/>
        <v>-121.85250058872079</v>
      </c>
      <c r="Y342" s="702">
        <f t="shared" si="181"/>
        <v>58.147499411279213</v>
      </c>
      <c r="AA342" s="174">
        <f t="shared" si="182"/>
        <v>1000000000</v>
      </c>
      <c r="AB342" s="174">
        <f t="shared" si="183"/>
        <v>668416389.0625</v>
      </c>
      <c r="AD342" s="701">
        <f t="shared" si="184"/>
        <v>27.542906348972625</v>
      </c>
      <c r="AE342" s="702">
        <f t="shared" si="185"/>
        <v>-10.339844294231863</v>
      </c>
      <c r="AG342" s="701">
        <f t="shared" si="186"/>
        <v>-0.64967031057862512</v>
      </c>
      <c r="AH342" s="702">
        <f t="shared" si="187"/>
        <v>-74.899236244308966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5">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1.0061003526596151</v>
      </c>
      <c r="N343" s="694">
        <f t="shared" si="174"/>
        <v>-0.11017714213751399</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0.85818051768758852</v>
      </c>
      <c r="X343" s="699">
        <f t="shared" si="180"/>
        <v>-122.02510234800553</v>
      </c>
      <c r="Y343" s="702">
        <f t="shared" si="181"/>
        <v>57.974897651994468</v>
      </c>
      <c r="AA343" s="174">
        <f t="shared" si="182"/>
        <v>1000000000</v>
      </c>
      <c r="AB343" s="174">
        <f t="shared" si="183"/>
        <v>676182012.25</v>
      </c>
      <c r="AD343" s="701">
        <f t="shared" si="184"/>
        <v>27.541937546502595</v>
      </c>
      <c r="AE343" s="702">
        <f t="shared" si="185"/>
        <v>-10.365376442820908</v>
      </c>
      <c r="AG343" s="701">
        <f t="shared" si="186"/>
        <v>-0.69584221943838731</v>
      </c>
      <c r="AH343" s="702">
        <f t="shared" si="187"/>
        <v>-74.841142886402423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5">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1.0061706008073361</v>
      </c>
      <c r="N344" s="694">
        <f t="shared" si="174"/>
        <v>-0.11080646850241425</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0.80470646335927098</v>
      </c>
      <c r="X344" s="699">
        <f t="shared" si="180"/>
        <v>-122.19767766418255</v>
      </c>
      <c r="Y344" s="702">
        <f t="shared" si="181"/>
        <v>57.80232233581745</v>
      </c>
      <c r="AA344" s="174">
        <f t="shared" si="182"/>
        <v>1000000000</v>
      </c>
      <c r="AB344" s="174">
        <f t="shared" si="183"/>
        <v>683992485.5625</v>
      </c>
      <c r="AD344" s="701">
        <f t="shared" si="184"/>
        <v>27.540966306402023</v>
      </c>
      <c r="AE344" s="702">
        <f t="shared" si="185"/>
        <v>-10.391093142558015</v>
      </c>
      <c r="AG344" s="701">
        <f t="shared" si="186"/>
        <v>-0.74170718668389179</v>
      </c>
      <c r="AH344" s="702">
        <f t="shared" si="187"/>
        <v>-74.782951827061623</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5">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1.0062412473948756</v>
      </c>
      <c r="N345" s="694">
        <f t="shared" si="174"/>
        <v>-0.11143570674850255</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0.75150012120400633</v>
      </c>
      <c r="X345" s="699">
        <f t="shared" si="180"/>
        <v>-122.37022549128871</v>
      </c>
      <c r="Y345" s="702">
        <f t="shared" si="181"/>
        <v>57.629774508711293</v>
      </c>
      <c r="AA345" s="174">
        <f t="shared" si="182"/>
        <v>1000000000</v>
      </c>
      <c r="AB345" s="174">
        <f t="shared" si="183"/>
        <v>691847809</v>
      </c>
      <c r="AD345" s="701">
        <f t="shared" si="184"/>
        <v>27.539992580698605</v>
      </c>
      <c r="AE345" s="702">
        <f t="shared" si="185"/>
        <v>-10.416991068417683</v>
      </c>
      <c r="AG345" s="701">
        <f t="shared" si="186"/>
        <v>-0.7872685093067654</v>
      </c>
      <c r="AH345" s="702">
        <f t="shared" si="187"/>
        <v>-74.724665823224385</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5">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1.0063138386311334</v>
      </c>
      <c r="N346" s="694">
        <f t="shared" si="174"/>
        <v>-0.11207850974316151</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0.69741219636915242</v>
      </c>
      <c r="X346" s="699">
        <f t="shared" si="180"/>
        <v>-122.54648863613087</v>
      </c>
      <c r="Y346" s="702">
        <f t="shared" si="181"/>
        <v>57.453511363869126</v>
      </c>
      <c r="AA346" s="174">
        <f t="shared" si="182"/>
        <v>1000000000</v>
      </c>
      <c r="AB346" s="174">
        <f t="shared" si="183"/>
        <v>699919936</v>
      </c>
      <c r="AD346" s="701">
        <f t="shared" si="184"/>
        <v>27.538995106883092</v>
      </c>
      <c r="AE346" s="702">
        <f t="shared" si="185"/>
        <v>-10.443634839780684</v>
      </c>
      <c r="AG346" s="701">
        <f t="shared" si="186"/>
        <v>-0.83350841304665835</v>
      </c>
      <c r="AH346" s="702">
        <f t="shared" si="187"/>
        <v>-74.665019596445163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5">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1.0063868456118474</v>
      </c>
      <c r="N347" s="694">
        <f t="shared" si="174"/>
        <v>-0.11272121974079534</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0.64359700438420886</v>
      </c>
      <c r="X347" s="699">
        <f t="shared" si="180"/>
        <v>-122.72272093492407</v>
      </c>
      <c r="Y347" s="702">
        <f t="shared" si="181"/>
        <v>57.27727906507593</v>
      </c>
      <c r="AA347" s="174">
        <f t="shared" si="182"/>
        <v>1000000000</v>
      </c>
      <c r="AB347" s="174">
        <f t="shared" si="183"/>
        <v>708038881</v>
      </c>
      <c r="AD347" s="701">
        <f t="shared" si="184"/>
        <v>27.537994941714707</v>
      </c>
      <c r="AE347" s="702">
        <f t="shared" si="185"/>
        <v>-10.470461005782775</v>
      </c>
      <c r="AG347" s="701">
        <f t="shared" si="186"/>
        <v>-0.87943813287608052</v>
      </c>
      <c r="AH347" s="702">
        <f t="shared" si="187"/>
        <v>-74.605279891700633</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5">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1.0064602682465453</v>
      </c>
      <c r="N348" s="694">
        <f t="shared" si="174"/>
        <v>-0.11336383623072331</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0.59005123478961985</v>
      </c>
      <c r="X348" s="699">
        <f t="shared" si="180"/>
        <v>-122.8989213284412</v>
      </c>
      <c r="Y348" s="702">
        <f t="shared" si="181"/>
        <v>57.101078671558795</v>
      </c>
      <c r="AA348" s="174">
        <f t="shared" si="182"/>
        <v>1000000000</v>
      </c>
      <c r="AB348" s="174">
        <f t="shared" si="183"/>
        <v>716204644</v>
      </c>
      <c r="AD348" s="701">
        <f t="shared" si="184"/>
        <v>27.536992038537772</v>
      </c>
      <c r="AE348" s="702">
        <f t="shared" si="185"/>
        <v>-10.49746625288585</v>
      </c>
      <c r="AG348" s="701">
        <f t="shared" si="186"/>
        <v>-0.92506101114118555</v>
      </c>
      <c r="AH348" s="702">
        <f t="shared" si="187"/>
        <v>-74.545449464483468</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5">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1.0065341064442663</v>
      </c>
      <c r="N349" s="694">
        <f t="shared" si="174"/>
        <v>-0.11400635870272217</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0.53677163479143397</v>
      </c>
      <c r="X349" s="699">
        <f t="shared" si="180"/>
        <v>-123.07508877547249</v>
      </c>
      <c r="Y349" s="702">
        <f t="shared" si="181"/>
        <v>56.924911224527506</v>
      </c>
      <c r="AA349" s="174">
        <f t="shared" si="182"/>
        <v>1000000000</v>
      </c>
      <c r="AB349" s="174">
        <f t="shared" si="183"/>
        <v>724417225</v>
      </c>
      <c r="AD349" s="701">
        <f t="shared" si="184"/>
        <v>27.535986352115103</v>
      </c>
      <c r="AE349" s="702">
        <f t="shared" si="185"/>
        <v>-10.524647341587006</v>
      </c>
      <c r="AG349" s="701">
        <f t="shared" si="186"/>
        <v>-0.97038033418887037</v>
      </c>
      <c r="AH349" s="702">
        <f t="shared" si="187"/>
        <v>-74.485531011396191</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5">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1.0066101852720148</v>
      </c>
      <c r="N350" s="694">
        <f t="shared" si="174"/>
        <v>-0.11466453123884061</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0.4824588557905628</v>
      </c>
      <c r="X350" s="699">
        <f t="shared" si="180"/>
        <v>-123.25553881428222</v>
      </c>
      <c r="Y350" s="702">
        <f t="shared" si="181"/>
        <v>56.744461185717782</v>
      </c>
      <c r="AA350" s="174">
        <f t="shared" si="182"/>
        <v>1000000000</v>
      </c>
      <c r="AB350" s="174">
        <f t="shared" si="183"/>
        <v>732879648.0625</v>
      </c>
      <c r="AD350" s="701">
        <f t="shared" si="184"/>
        <v>27.534953084253463</v>
      </c>
      <c r="AE350" s="702">
        <f t="shared" si="185"/>
        <v>-10.552673681281307</v>
      </c>
      <c r="AG350" s="701">
        <f t="shared" si="186"/>
        <v>-1.0164989968708273</v>
      </c>
      <c r="AH350" s="702">
        <f t="shared" si="187"/>
        <v>-74.424055439378691</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5">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1.0066867000883057</v>
      </c>
      <c r="N351" s="694">
        <f t="shared" si="174"/>
        <v>-0.11532260400910321</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0.42841872165835126</v>
      </c>
      <c r="X351" s="699">
        <f t="shared" si="180"/>
        <v>-123.4359521152651</v>
      </c>
      <c r="Y351" s="702">
        <f t="shared" si="181"/>
        <v>56.564047884734904</v>
      </c>
      <c r="AA351" s="174">
        <f t="shared" si="182"/>
        <v>1000000000</v>
      </c>
      <c r="AB351" s="174">
        <f t="shared" si="183"/>
        <v>741391212.25</v>
      </c>
      <c r="AD351" s="701">
        <f t="shared" si="184"/>
        <v>27.533916803274856</v>
      </c>
      <c r="AE351" s="702">
        <f t="shared" si="185"/>
        <v>-10.580877933372987</v>
      </c>
      <c r="AG351" s="701">
        <f t="shared" si="186"/>
        <v>-1.062305850421255</v>
      </c>
      <c r="AH351" s="702">
        <f t="shared" si="187"/>
        <v>-74.362493021245726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5">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1.0067636507937323</v>
      </c>
      <c r="N352" s="694">
        <f t="shared" si="174"/>
        <v>-0.1159805764663524</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0.37464791433378353</v>
      </c>
      <c r="X352" s="699">
        <f t="shared" si="180"/>
        <v>-123.61632761464193</v>
      </c>
      <c r="Y352" s="702">
        <f t="shared" si="181"/>
        <v>56.383672385358068</v>
      </c>
      <c r="AA352" s="174">
        <f t="shared" si="182"/>
        <v>1000000000</v>
      </c>
      <c r="AB352" s="174">
        <f t="shared" si="183"/>
        <v>749951917.5625</v>
      </c>
      <c r="AD352" s="701">
        <f t="shared" si="184"/>
        <v>27.532877464861699</v>
      </c>
      <c r="AE352" s="702">
        <f t="shared" si="185"/>
        <v>-10.6092568426269</v>
      </c>
      <c r="AG352" s="701">
        <f t="shared" si="186"/>
        <v>-1.1078042541002195</v>
      </c>
      <c r="AH352" s="702">
        <f t="shared" si="187"/>
        <v>-74.300846474900425</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5">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1.0068410372883525</v>
      </c>
      <c r="N353" s="694">
        <f t="shared" si="174"/>
        <v>-0.11663844806394487</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0.32114317367988304</v>
      </c>
      <c r="X353" s="699">
        <f t="shared" si="180"/>
        <v>-123.79666426654079</v>
      </c>
      <c r="Y353" s="702">
        <f t="shared" si="181"/>
        <v>56.203335733459213</v>
      </c>
      <c r="AA353" s="174">
        <f t="shared" si="182"/>
        <v>1000000000</v>
      </c>
      <c r="AB353" s="174">
        <f t="shared" si="183"/>
        <v>758561764</v>
      </c>
      <c r="AD353" s="701">
        <f t="shared" si="184"/>
        <v>27.531835026060165</v>
      </c>
      <c r="AE353" s="702">
        <f t="shared" si="185"/>
        <v>-10.637807226555442</v>
      </c>
      <c r="AG353" s="701">
        <f t="shared" si="186"/>
        <v>-1.1529975108675941</v>
      </c>
      <c r="AH353" s="702">
        <f t="shared" si="187"/>
        <v>-74.239118460222073</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5">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1.0069207265818427</v>
      </c>
      <c r="N354" s="694">
        <f t="shared" si="174"/>
        <v>-0.11731195313822863</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0.26663076043195649</v>
      </c>
      <c r="X354" s="699">
        <f t="shared" si="180"/>
        <v>-123.98127386576142</v>
      </c>
      <c r="Y354" s="702">
        <f t="shared" si="181"/>
        <v>56.018726134238577</v>
      </c>
      <c r="AA354" s="174">
        <f t="shared" si="182"/>
        <v>1000000000</v>
      </c>
      <c r="AB354" s="174">
        <f t="shared" si="183"/>
        <v>767428506.25</v>
      </c>
      <c r="AD354" s="701">
        <f t="shared" si="184"/>
        <v>27.530764392520112</v>
      </c>
      <c r="AE354" s="702">
        <f t="shared" si="185"/>
        <v>-10.667215061540251</v>
      </c>
      <c r="AG354" s="701">
        <f t="shared" si="186"/>
        <v>-1.1989591534565531</v>
      </c>
      <c r="AH354" s="702">
        <f t="shared" si="187"/>
        <v>-74.175832002412449</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5">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1.0070008725513118</v>
      </c>
      <c r="N355" s="694">
        <f t="shared" si="174"/>
        <v>-0.11798535131103907</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0.21239055927256142</v>
      </c>
      <c r="X355" s="699">
        <f t="shared" si="180"/>
        <v>-124.16584057288455</v>
      </c>
      <c r="Y355" s="702">
        <f t="shared" si="181"/>
        <v>55.834159427115452</v>
      </c>
      <c r="AA355" s="174">
        <f t="shared" si="182"/>
        <v>1000000000</v>
      </c>
      <c r="AB355" s="174">
        <f t="shared" si="183"/>
        <v>776346769</v>
      </c>
      <c r="AD355" s="701">
        <f t="shared" si="184"/>
        <v>27.529690421515205</v>
      </c>
      <c r="AE355" s="702">
        <f t="shared" si="185"/>
        <v>-10.696796145829181</v>
      </c>
      <c r="AG355" s="701">
        <f t="shared" si="186"/>
        <v>-1.244607707356109</v>
      </c>
      <c r="AH355" s="702">
        <f t="shared" si="187"/>
        <v>-74.11246559609026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5">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1.0070814750877295</v>
      </c>
      <c r="N356" s="694">
        <f t="shared" si="174"/>
        <v>-0.11865864199724671</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0.15841925069765481</v>
      </c>
      <c r="X356" s="699">
        <f t="shared" si="180"/>
        <v>-124.35036332062765</v>
      </c>
      <c r="Y356" s="702">
        <f t="shared" si="181"/>
        <v>55.64963667937235</v>
      </c>
      <c r="AA356" s="174">
        <f t="shared" si="182"/>
        <v>1000000000</v>
      </c>
      <c r="AB356" s="174">
        <f t="shared" si="183"/>
        <v>785316552.25</v>
      </c>
      <c r="AD356" s="701">
        <f t="shared" si="184"/>
        <v>27.528613071087147</v>
      </c>
      <c r="AE356" s="702">
        <f t="shared" si="185"/>
        <v>-10.726547286936469</v>
      </c>
      <c r="AG356" s="701">
        <f t="shared" si="186"/>
        <v>-1.2899465430196955</v>
      </c>
      <c r="AH356" s="702">
        <f t="shared" si="187"/>
        <v>-74.049021917769593</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5">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1.0071625340814798</v>
      </c>
      <c r="N357" s="694">
        <f t="shared" si="174"/>
        <v>-0.11933182461229866</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0.10471357324994907</v>
      </c>
      <c r="X357" s="699">
        <f t="shared" si="180"/>
        <v>-124.53484105948684</v>
      </c>
      <c r="Y357" s="702">
        <f t="shared" si="181"/>
        <v>55.465158940513163</v>
      </c>
      <c r="AA357" s="174">
        <f t="shared" si="182"/>
        <v>1000000000</v>
      </c>
      <c r="AB357" s="174">
        <f t="shared" si="183"/>
        <v>794337856</v>
      </c>
      <c r="AD357" s="701">
        <f t="shared" si="184"/>
        <v>27.527532300585804</v>
      </c>
      <c r="AE357" s="702">
        <f t="shared" si="185"/>
        <v>-10.756465363687292</v>
      </c>
      <c r="AG357" s="701">
        <f t="shared" si="186"/>
        <v>-1.3349789744338696</v>
      </c>
      <c r="AH357" s="702">
        <f t="shared" si="187"/>
        <v>-73.985503586908592</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5">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1.0072458320988866</v>
      </c>
      <c r="N358" s="694">
        <f t="shared" si="174"/>
        <v>-0.12001957498258618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5.0107793042380472E-2</v>
      </c>
      <c r="X358" s="699">
        <f t="shared" si="180"/>
        <v>-124.72329411171712</v>
      </c>
      <c r="Y358" s="702">
        <f t="shared" si="181"/>
        <v>55.276705888282876</v>
      </c>
      <c r="AA358" s="174">
        <f t="shared" si="182"/>
        <v>1000000000</v>
      </c>
      <c r="AB358" s="174">
        <f t="shared" si="183"/>
        <v>803609104</v>
      </c>
      <c r="AD358" s="701">
        <f t="shared" si="184"/>
        <v>27.526424388150335</v>
      </c>
      <c r="AE358" s="702">
        <f t="shared" si="185"/>
        <v>-10.787205120449357</v>
      </c>
      <c r="AG358" s="701">
        <f t="shared" si="186"/>
        <v>-1.3806803121414895</v>
      </c>
      <c r="AH358" s="702">
        <f t="shared" si="187"/>
        <v>-73.920525676294233</v>
      </c>
      <c r="AJ358" s="174">
        <f t="shared" si="188"/>
        <v>28348</v>
      </c>
      <c r="AK358" s="174">
        <f t="shared" si="200"/>
        <v>55.276705888282876</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5">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1.0073296064652231</v>
      </c>
      <c r="N359" s="694">
        <f t="shared" si="174"/>
        <v>-0.12070721128483565</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-4.2273495959770464E-3</v>
      </c>
      <c r="X359" s="699">
        <f t="shared" si="180"/>
        <v>-124.9116980100972</v>
      </c>
      <c r="Y359" s="702">
        <f t="shared" si="181"/>
        <v>55.088301989902803</v>
      </c>
      <c r="AA359" s="174">
        <f t="shared" si="182"/>
        <v>28512</v>
      </c>
      <c r="AB359" s="174">
        <f t="shared" si="183"/>
        <v>812934144</v>
      </c>
      <c r="AD359" s="701">
        <f t="shared" si="184"/>
        <v>27.525312823035009</v>
      </c>
      <c r="AE359" s="702">
        <f t="shared" si="185"/>
        <v>-10.818112803469987</v>
      </c>
      <c r="AG359" s="701">
        <f t="shared" si="186"/>
        <v>-1.4260685572311154</v>
      </c>
      <c r="AH359" s="702">
        <f t="shared" si="187"/>
        <v>-73.85547517573751</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5">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1.0074138570616527</v>
      </c>
      <c r="N360" s="694">
        <f t="shared" si="174"/>
        <v>-0.12139473289729652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-5.8295154839931196E-2</v>
      </c>
      <c r="X360" s="699">
        <f t="shared" si="180"/>
        <v>-125.10005168965051</v>
      </c>
      <c r="Y360" s="702">
        <f t="shared" si="181"/>
        <v>54.899948310349487</v>
      </c>
      <c r="AA360" s="174">
        <f t="shared" si="182"/>
        <v>28676</v>
      </c>
      <c r="AB360" s="174">
        <f t="shared" si="183"/>
        <v>822312976</v>
      </c>
      <c r="AD360" s="701">
        <f t="shared" si="184"/>
        <v>27.524197565827031</v>
      </c>
      <c r="AE360" s="702">
        <f t="shared" si="185"/>
        <v>-10.849185300811921</v>
      </c>
      <c r="AG360" s="701">
        <f t="shared" si="186"/>
        <v>-1.4711470707283112</v>
      </c>
      <c r="AH360" s="702">
        <f t="shared" si="187"/>
        <v>-73.790354705180334</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5">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1.0074985837687034</v>
      </c>
      <c r="N361" s="694">
        <f t="shared" si="174"/>
        <v>-0.12208213919885937</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-0.11209886517116414</v>
      </c>
      <c r="X361" s="699">
        <f t="shared" si="180"/>
        <v>-125.2883541029269</v>
      </c>
      <c r="Y361" s="702">
        <f t="shared" si="181"/>
        <v>54.711645897073097</v>
      </c>
      <c r="AA361" s="174">
        <f t="shared" si="182"/>
        <v>28840</v>
      </c>
      <c r="AB361" s="174">
        <f t="shared" si="183"/>
        <v>831745600</v>
      </c>
      <c r="AD361" s="701">
        <f t="shared" si="184"/>
        <v>27.523078578358437</v>
      </c>
      <c r="AE361" s="702">
        <f t="shared" si="185"/>
        <v>-10.880419569867366</v>
      </c>
      <c r="AG361" s="701">
        <f t="shared" si="186"/>
        <v>-1.5159191574903887</v>
      </c>
      <c r="AH361" s="702">
        <f t="shared" si="187"/>
        <v>-73.725166828899276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5">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1.0075858705261682</v>
      </c>
      <c r="N362" s="694">
        <f t="shared" si="174"/>
        <v>-0.1227861912953136</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-0.16694435576516747</v>
      </c>
      <c r="X362" s="699">
        <f t="shared" si="180"/>
        <v>-125.48119502393325</v>
      </c>
      <c r="Y362" s="702">
        <f t="shared" si="181"/>
        <v>54.518804976066747</v>
      </c>
      <c r="AA362" s="174">
        <f t="shared" si="182"/>
        <v>29008</v>
      </c>
      <c r="AB362" s="174">
        <f t="shared" si="183"/>
        <v>841464064</v>
      </c>
      <c r="AD362" s="701">
        <f t="shared" si="184"/>
        <v>27.521928392037417</v>
      </c>
      <c r="AE362" s="702">
        <f t="shared" si="185"/>
        <v>-10.912580279048235</v>
      </c>
      <c r="AG362" s="701">
        <f t="shared" si="186"/>
        <v>-1.5614689146322158</v>
      </c>
      <c r="AH362" s="702">
        <f t="shared" si="187"/>
        <v>-73.658321736109016</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5">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1.0076736566465518</v>
      </c>
      <c r="N363" s="694">
        <f t="shared" si="174"/>
        <v>-0.12349012106997621</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-0.22151941986143256</v>
      </c>
      <c r="X363" s="699">
        <f t="shared" si="180"/>
        <v>-125.67397997675802</v>
      </c>
      <c r="Y363" s="702">
        <f t="shared" si="181"/>
        <v>54.326020023241981</v>
      </c>
      <c r="AA363" s="174">
        <f t="shared" si="182"/>
        <v>29176</v>
      </c>
      <c r="AB363" s="174">
        <f t="shared" si="183"/>
        <v>851238976</v>
      </c>
      <c r="AD363" s="701">
        <f t="shared" si="184"/>
        <v>27.520774214018001</v>
      </c>
      <c r="AE363" s="702">
        <f t="shared" si="185"/>
        <v>-10.944904498594717</v>
      </c>
      <c r="AG363" s="701">
        <f t="shared" si="186"/>
        <v>-1.606703960521835</v>
      </c>
      <c r="AH363" s="702">
        <f t="shared" si="187"/>
        <v>-73.591411184249282</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5">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1.0077619419993555</v>
      </c>
      <c r="N364" s="694">
        <f t="shared" si="174"/>
        <v>-0.12419392785728663</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-0.27582736319791101</v>
      </c>
      <c r="X364" s="699">
        <f t="shared" si="180"/>
        <v>-125.8667078898594</v>
      </c>
      <c r="Y364" s="702">
        <f t="shared" si="181"/>
        <v>54.133292110140601</v>
      </c>
      <c r="AA364" s="174">
        <f t="shared" si="182"/>
        <v>29344</v>
      </c>
      <c r="AB364" s="174">
        <f t="shared" si="183"/>
        <v>861070336</v>
      </c>
      <c r="AD364" s="701">
        <f t="shared" si="184"/>
        <v>27.51961600706835</v>
      </c>
      <c r="AE364" s="702">
        <f t="shared" si="185"/>
        <v>-10.977389171539752</v>
      </c>
      <c r="AG364" s="701">
        <f t="shared" si="186"/>
        <v>-1.6516276726337156</v>
      </c>
      <c r="AH364" s="702">
        <f t="shared" si="187"/>
        <v>-73.524437757895456</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5">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1.0078507264533849</v>
      </c>
      <c r="N365" s="694">
        <f t="shared" si="174"/>
        <v>-0.12489761099240412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-0.32987143358722071</v>
      </c>
      <c r="X365" s="699">
        <f t="shared" si="180"/>
        <v>-126.05937770917232</v>
      </c>
      <c r="Y365" s="702">
        <f t="shared" si="181"/>
        <v>53.940622290827676</v>
      </c>
      <c r="AA365" s="174">
        <f t="shared" si="182"/>
        <v>29512</v>
      </c>
      <c r="AB365" s="174">
        <f t="shared" si="183"/>
        <v>870958144</v>
      </c>
      <c r="AD365" s="701">
        <f t="shared" si="184"/>
        <v>27.518453735153535</v>
      </c>
      <c r="AE365" s="702">
        <f t="shared" si="185"/>
        <v>-11.010031309004837</v>
      </c>
      <c r="AG365" s="701">
        <f t="shared" si="186"/>
        <v>-1.6962433720041847</v>
      </c>
      <c r="AH365" s="702">
        <f t="shared" si="187"/>
        <v>-73.457403986738825</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5">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1.0079421417529975</v>
      </c>
      <c r="N366" s="694">
        <f t="shared" si="174"/>
        <v>-0.12561791969101013</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-0.38493222775852981</v>
      </c>
      <c r="X366" s="699">
        <f t="shared" si="180"/>
        <v>-126.25657363733782</v>
      </c>
      <c r="Y366" s="702">
        <f t="shared" si="181"/>
        <v>53.743426362662177</v>
      </c>
      <c r="AA366" s="174">
        <f t="shared" si="182"/>
        <v>29684</v>
      </c>
      <c r="AB366" s="174">
        <f t="shared" si="183"/>
        <v>881139856</v>
      </c>
      <c r="AD366" s="701">
        <f t="shared" si="184"/>
        <v>27.517259542390072</v>
      </c>
      <c r="AE366" s="702">
        <f t="shared" si="185"/>
        <v>-11.043610721558505</v>
      </c>
      <c r="AG366" s="701">
        <f t="shared" si="186"/>
        <v>-1.7416056593825764</v>
      </c>
      <c r="AH366" s="702">
        <f t="shared" si="187"/>
        <v>-73.388714241805246</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5">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1.0080340799229586</v>
      </c>
      <c r="N367" s="694">
        <f t="shared" si="174"/>
        <v>-0.12633809737110738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-0.43972314332045298</v>
      </c>
      <c r="X367" s="699">
        <f t="shared" si="180"/>
        <v>-126.45370649070689</v>
      </c>
      <c r="Y367" s="702">
        <f t="shared" si="181"/>
        <v>53.546293509293108</v>
      </c>
      <c r="AA367" s="174">
        <f t="shared" si="182"/>
        <v>29856</v>
      </c>
      <c r="AB367" s="174">
        <f t="shared" si="183"/>
        <v>891380736</v>
      </c>
      <c r="AD367" s="701">
        <f t="shared" si="184"/>
        <v>27.51606101601919</v>
      </c>
      <c r="AE367" s="702">
        <f t="shared" si="185"/>
        <v>-11.077349056281593</v>
      </c>
      <c r="AG367" s="701">
        <f t="shared" si="186"/>
        <v>-1.7866519613576033</v>
      </c>
      <c r="AH367" s="702">
        <f t="shared" si="187"/>
        <v>-73.319966440711795</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5">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1.0081265408202156</v>
      </c>
      <c r="N368" s="694">
        <f t="shared" si="174"/>
        <v>-0.12705814332159532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-0.49424748544830521</v>
      </c>
      <c r="X368" s="699">
        <f t="shared" si="180"/>
        <v>-126.65077519232838</v>
      </c>
      <c r="Y368" s="702">
        <f t="shared" si="181"/>
        <v>53.349224807671618</v>
      </c>
      <c r="AA368" s="174">
        <f t="shared" si="182"/>
        <v>30028</v>
      </c>
      <c r="AB368" s="174">
        <f t="shared" si="183"/>
        <v>901680784</v>
      </c>
      <c r="AD368" s="701">
        <f t="shared" si="184"/>
        <v>27.514858121014566</v>
      </c>
      <c r="AE368" s="702">
        <f t="shared" si="185"/>
        <v>-11.111243315172883</v>
      </c>
      <c r="AG368" s="701">
        <f t="shared" si="186"/>
        <v>-1.8313856662439512</v>
      </c>
      <c r="AH368" s="702">
        <f t="shared" si="187"/>
        <v>-73.251163128950793</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5">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1.0082195243009549</v>
      </c>
      <c r="N369" s="694">
        <f t="shared" si="174"/>
        <v>-0.1277780568321798</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-0.54850850129451156</v>
      </c>
      <c r="X369" s="699">
        <f t="shared" si="180"/>
        <v>-126.84777868266352</v>
      </c>
      <c r="Y369" s="702">
        <f t="shared" si="181"/>
        <v>53.152221317336483</v>
      </c>
      <c r="AA369" s="174">
        <f t="shared" si="182"/>
        <v>30200</v>
      </c>
      <c r="AB369" s="174">
        <f t="shared" si="183"/>
        <v>912040000</v>
      </c>
      <c r="AD369" s="701">
        <f t="shared" si="184"/>
        <v>27.513650823498253</v>
      </c>
      <c r="AE369" s="702">
        <f t="shared" si="185"/>
        <v>-11.145290566943475</v>
      </c>
      <c r="AG369" s="701">
        <f t="shared" si="186"/>
        <v>-1.8758101057804997</v>
      </c>
      <c r="AH369" s="702">
        <f t="shared" si="187"/>
        <v>-73.182306798001491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5">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1.008315074685378</v>
      </c>
      <c r="N370" s="694">
        <f t="shared" si="174"/>
        <v>-0.12851352859070869</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-0.60368385210334918</v>
      </c>
      <c r="X370" s="699">
        <f t="shared" si="180"/>
        <v>-127.04900886319703</v>
      </c>
      <c r="Y370" s="702">
        <f t="shared" si="181"/>
        <v>52.950991136802969</v>
      </c>
      <c r="AA370" s="174">
        <f t="shared" si="182"/>
        <v>30375.75</v>
      </c>
      <c r="AB370" s="174">
        <f t="shared" si="183"/>
        <v>922686188.0625</v>
      </c>
      <c r="AD370" s="701">
        <f t="shared" si="184"/>
        <v>27.512412622465927</v>
      </c>
      <c r="AE370" s="702">
        <f t="shared" si="185"/>
        <v>-11.18023517858648</v>
      </c>
      <c r="AG370" s="701">
        <f t="shared" si="186"/>
        <v>-1.9208870571622361</v>
      </c>
      <c r="AH370" s="702">
        <f t="shared" si="187"/>
        <v>-73.111897010488192</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5">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1.0084111703827559</v>
      </c>
      <c r="N371" s="694">
        <f t="shared" si="174"/>
        <v>-0.12924886057459972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-0.65859094404620444</v>
      </c>
      <c r="X371" s="699">
        <f t="shared" si="180"/>
        <v>-127.25016877515981</v>
      </c>
      <c r="Y371" s="702">
        <f t="shared" si="181"/>
        <v>52.749831224840193</v>
      </c>
      <c r="AA371" s="174">
        <f t="shared" si="182"/>
        <v>30551.5</v>
      </c>
      <c r="AB371" s="174">
        <f t="shared" si="183"/>
        <v>933394152.25</v>
      </c>
      <c r="AD371" s="701">
        <f t="shared" si="184"/>
        <v>27.511169756850702</v>
      </c>
      <c r="AE371" s="702">
        <f t="shared" si="185"/>
        <v>-11.215333544352314</v>
      </c>
      <c r="AG371" s="701">
        <f t="shared" si="186"/>
        <v>-1.965647968608766</v>
      </c>
      <c r="AH371" s="702">
        <f t="shared" si="187"/>
        <v>-73.041436959748339</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5">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1.0085078112372083</v>
      </c>
      <c r="N372" s="694">
        <f t="shared" si="174"/>
        <v>-0.12998405202871496</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-0.71323306206556558</v>
      </c>
      <c r="X372" s="699">
        <f t="shared" si="180"/>
        <v>-127.45125734187259</v>
      </c>
      <c r="Y372" s="702">
        <f t="shared" si="181"/>
        <v>52.548742658127409</v>
      </c>
      <c r="AA372" s="174">
        <f t="shared" si="182"/>
        <v>30727.25</v>
      </c>
      <c r="AB372" s="174">
        <f t="shared" si="183"/>
        <v>944163892.5625</v>
      </c>
      <c r="AD372" s="701">
        <f t="shared" si="184"/>
        <v>27.509922193983257</v>
      </c>
      <c r="AE372" s="702">
        <f t="shared" si="185"/>
        <v>-11.250582740870088</v>
      </c>
      <c r="AG372" s="701">
        <f t="shared" si="186"/>
        <v>-2.0100962197095522</v>
      </c>
      <c r="AH372" s="702">
        <f t="shared" si="187"/>
        <v>-72.970929138356198</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5">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1.0086049970920301</v>
      </c>
      <c r="N373" s="694">
        <f t="shared" si="174"/>
        <v>-0.13071910219881286</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-0.76761343343505706</v>
      </c>
      <c r="X373" s="699">
        <f t="shared" si="180"/>
        <v>-127.65227350389571</v>
      </c>
      <c r="Y373" s="702">
        <f t="shared" si="181"/>
        <v>52.347726496104286</v>
      </c>
      <c r="AA373" s="174">
        <f t="shared" si="182"/>
        <v>30903</v>
      </c>
      <c r="AB373" s="174">
        <f t="shared" si="183"/>
        <v>954995409</v>
      </c>
      <c r="AD373" s="701">
        <f t="shared" si="184"/>
        <v>27.508669902287831</v>
      </c>
      <c r="AE373" s="702">
        <f t="shared" si="185"/>
        <v>-11.285979909625937</v>
      </c>
      <c r="AG373" s="701">
        <f t="shared" si="186"/>
        <v>-2.0542351337817841</v>
      </c>
      <c r="AH373" s="702">
        <f t="shared" si="187"/>
        <v>-72.900375986116472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5">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1.0087050978666301</v>
      </c>
      <c r="N374" s="694">
        <f t="shared" si="174"/>
        <v>-0.13147178017127156</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-0.8230408305824598</v>
      </c>
      <c r="X374" s="699">
        <f t="shared" si="180"/>
        <v>-127.85807451265207</v>
      </c>
      <c r="Y374" s="702">
        <f t="shared" si="181"/>
        <v>52.141925487347933</v>
      </c>
      <c r="AA374" s="174">
        <f t="shared" si="182"/>
        <v>31083</v>
      </c>
      <c r="AB374" s="174">
        <f t="shared" si="183"/>
        <v>966152889</v>
      </c>
      <c r="AD374" s="701">
        <f t="shared" si="184"/>
        <v>27.507382393955734</v>
      </c>
      <c r="AE374" s="702">
        <f t="shared" si="185"/>
        <v>-11.322383517686143</v>
      </c>
      <c r="AG374" s="701">
        <f t="shared" si="186"/>
        <v>-2.0991241851624234</v>
      </c>
      <c r="AH374" s="702">
        <f t="shared" si="187"/>
        <v>-72.828072219162081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5">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1.0088057699834119</v>
      </c>
      <c r="N375" s="694">
        <f t="shared" si="174"/>
        <v>-0.13222430834545801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-0.87820034144434678</v>
      </c>
      <c r="X375" s="699">
        <f t="shared" si="180"/>
        <v>-128.06379737681075</v>
      </c>
      <c r="Y375" s="702">
        <f t="shared" si="181"/>
        <v>51.936202623189246</v>
      </c>
      <c r="AA375" s="174">
        <f t="shared" si="182"/>
        <v>31263</v>
      </c>
      <c r="AB375" s="174">
        <f t="shared" si="183"/>
        <v>977375169</v>
      </c>
      <c r="AD375" s="701">
        <f t="shared" si="184"/>
        <v>27.50608986164201</v>
      </c>
      <c r="AE375" s="702">
        <f t="shared" si="185"/>
        <v>-11.358936472385674</v>
      </c>
      <c r="AG375" s="701">
        <f t="shared" si="186"/>
        <v>-2.1436956386186905</v>
      </c>
      <c r="AH375" s="702">
        <f t="shared" si="187"/>
        <v>-72.75572591922959</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5">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1.008907013271344</v>
      </c>
      <c r="N376" s="694">
        <f t="shared" si="174"/>
        <v>-0.13297668591403114</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-0.9330952534981265</v>
      </c>
      <c r="X376" s="699">
        <f t="shared" si="180"/>
        <v>-128.26944101183281</v>
      </c>
      <c r="Y376" s="702">
        <f t="shared" si="181"/>
        <v>51.730558988167189</v>
      </c>
      <c r="AA376" s="174">
        <f t="shared" si="182"/>
        <v>31443</v>
      </c>
      <c r="AB376" s="174">
        <f t="shared" si="183"/>
        <v>988662249</v>
      </c>
      <c r="AD376" s="701">
        <f t="shared" si="184"/>
        <v>27.504792274759513</v>
      </c>
      <c r="AE376" s="702">
        <f t="shared" si="185"/>
        <v>-11.395635902596089</v>
      </c>
      <c r="AG376" s="701">
        <f t="shared" si="186"/>
        <v>-2.1879528890962434</v>
      </c>
      <c r="AH376" s="702">
        <f t="shared" si="187"/>
        <v>-72.683339544426886</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5">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1.0090088275584939</v>
      </c>
      <c r="N377" s="694">
        <f t="shared" si="174"/>
        <v>-0.13372891207065499</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-0.98772879636653832</v>
      </c>
      <c r="X377" s="699">
        <f t="shared" si="180"/>
        <v>-128.47500435043727</v>
      </c>
      <c r="Y377" s="702">
        <f t="shared" si="181"/>
        <v>51.524995649562726</v>
      </c>
      <c r="AA377" s="174">
        <f t="shared" si="182"/>
        <v>31623</v>
      </c>
      <c r="AB377" s="174">
        <f t="shared" si="183"/>
        <v>1000014129</v>
      </c>
      <c r="AD377" s="701">
        <f t="shared" si="184"/>
        <v>27.503489603772621</v>
      </c>
      <c r="AE377" s="702">
        <f t="shared" si="185"/>
        <v>-11.432479000834451</v>
      </c>
      <c r="AG377" s="701">
        <f t="shared" si="186"/>
        <v>-2.2318992750464255</v>
      </c>
      <c r="AH377" s="702">
        <f t="shared" si="187"/>
        <v>-72.610915500793524</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5">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1.0091134943789053</v>
      </c>
      <c r="N378" s="694">
        <f t="shared" si="174"/>
        <v>-0.13449769702916381</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-1.0433095755494624</v>
      </c>
      <c r="X378" s="699">
        <f t="shared" si="180"/>
        <v>-128.68505167680232</v>
      </c>
      <c r="Y378" s="702">
        <f t="shared" si="181"/>
        <v>51.314948323197683</v>
      </c>
      <c r="AA378" s="174">
        <f t="shared" si="182"/>
        <v>31807</v>
      </c>
      <c r="AB378" s="174">
        <f t="shared" si="183"/>
        <v>1011685249</v>
      </c>
      <c r="AD378" s="701">
        <f t="shared" si="184"/>
        <v>27.502152700022581</v>
      </c>
      <c r="AE378" s="702">
        <f t="shared" si="185"/>
        <v>-11.470286468526837</v>
      </c>
      <c r="AG378" s="701">
        <f t="shared" si="186"/>
        <v>-2.2765043622246299</v>
      </c>
      <c r="AH378" s="702">
        <f t="shared" si="187"/>
        <v>-72.536845552410185</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5">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1.0092187574920652</v>
      </c>
      <c r="N379" s="694">
        <f t="shared" si="174"/>
        <v>-0.13526632207089953</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-1.0986238852265853</v>
      </c>
      <c r="X379" s="699">
        <f t="shared" si="180"/>
        <v>-128.89501289658293</v>
      </c>
      <c r="Y379" s="702">
        <f t="shared" si="181"/>
        <v>51.104987103417074</v>
      </c>
      <c r="AA379" s="174">
        <f t="shared" si="182"/>
        <v>31991</v>
      </c>
      <c r="AB379" s="174">
        <f t="shared" si="183"/>
        <v>1023424081</v>
      </c>
      <c r="AD379" s="701">
        <f t="shared" si="184"/>
        <v>27.500810424499864</v>
      </c>
      <c r="AE379" s="702">
        <f t="shared" si="185"/>
        <v>-11.508238323811598</v>
      </c>
      <c r="AG379" s="701">
        <f t="shared" si="186"/>
        <v>-2.3207914944592023</v>
      </c>
      <c r="AH379" s="702">
        <f t="shared" si="187"/>
        <v>-72.46274116607357</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5">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1.0093246167114105</v>
      </c>
      <c r="N380" s="694">
        <f t="shared" si="174"/>
        <v>-0.13603478633785487</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-1.1536749961477897</v>
      </c>
      <c r="X380" s="699">
        <f t="shared" si="180"/>
        <v>-129.10488692313058</v>
      </c>
      <c r="Y380" s="702">
        <f t="shared" si="181"/>
        <v>50.895113076869421</v>
      </c>
      <c r="AA380" s="174">
        <f t="shared" si="182"/>
        <v>32175</v>
      </c>
      <c r="AB380" s="174">
        <f t="shared" si="183"/>
        <v>1035230625</v>
      </c>
      <c r="AD380" s="701">
        <f t="shared" si="184"/>
        <v>27.499462748841704</v>
      </c>
      <c r="AE380" s="702">
        <f t="shared" si="185"/>
        <v>-11.546331762621069</v>
      </c>
      <c r="AG380" s="701">
        <f t="shared" si="186"/>
        <v>-2.3647640628911586</v>
      </c>
      <c r="AH380" s="702">
        <f t="shared" si="187"/>
        <v>-72.388604752000845</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5">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1.0094310718494</v>
      </c>
      <c r="N381" s="694">
        <f t="shared" si="174"/>
        <v>-0.13680308897314103</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-1.2084661214650079</v>
      </c>
      <c r="X381" s="699">
        <f t="shared" si="180"/>
        <v>-129.31467268697213</v>
      </c>
      <c r="Y381" s="702">
        <f t="shared" si="181"/>
        <v>50.685327313027869</v>
      </c>
      <c r="AA381" s="174">
        <f t="shared" si="182"/>
        <v>32359</v>
      </c>
      <c r="AB381" s="174">
        <f t="shared" si="183"/>
        <v>1047104881</v>
      </c>
      <c r="AD381" s="701">
        <f t="shared" si="184"/>
        <v>27.498109645689063</v>
      </c>
      <c r="AE381" s="702">
        <f t="shared" si="185"/>
        <v>-11.584564042868967</v>
      </c>
      <c r="AG381" s="701">
        <f t="shared" si="186"/>
        <v>-2.4084254023765945</v>
      </c>
      <c r="AH381" s="702">
        <f t="shared" si="187"/>
        <v>-72.314438669392302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5">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1.0095407482707022</v>
      </c>
      <c r="N382" s="694">
        <f t="shared" si="174"/>
        <v>-0.13759001311445798</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-1.2643309462101149</v>
      </c>
      <c r="X382" s="699">
        <f t="shared" si="180"/>
        <v>-129.52949645349614</v>
      </c>
      <c r="Y382" s="702">
        <f t="shared" si="181"/>
        <v>50.470503546503863</v>
      </c>
      <c r="AA382" s="174">
        <f t="shared" si="182"/>
        <v>32547.5</v>
      </c>
      <c r="AB382" s="174">
        <f t="shared" si="183"/>
        <v>1059339756.25</v>
      </c>
      <c r="AD382" s="701">
        <f t="shared" si="184"/>
        <v>27.496717794534405</v>
      </c>
      <c r="AE382" s="702">
        <f t="shared" si="185"/>
        <v>-11.623872524711722</v>
      </c>
      <c r="AG382" s="701">
        <f t="shared" si="186"/>
        <v>-2.4528352354954661</v>
      </c>
      <c r="AH382" s="702">
        <f t="shared" si="187"/>
        <v>-72.238430390745691</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5">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1.0096510497136679</v>
      </c>
      <c r="N383" s="694">
        <f t="shared" si="174"/>
        <v>-0.13837676580453176</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-1.3199295604235461</v>
      </c>
      <c r="X383" s="699">
        <f t="shared" si="180"/>
        <v>-129.74422536862505</v>
      </c>
      <c r="Y383" s="702">
        <f t="shared" si="181"/>
        <v>50.255774631374948</v>
      </c>
      <c r="AA383" s="174">
        <f t="shared" si="182"/>
        <v>32736</v>
      </c>
      <c r="AB383" s="174">
        <f t="shared" si="183"/>
        <v>1071645696</v>
      </c>
      <c r="AD383" s="701">
        <f t="shared" si="184"/>
        <v>27.495320192122392</v>
      </c>
      <c r="AE383" s="702">
        <f t="shared" si="185"/>
        <v>-11.663321088062919</v>
      </c>
      <c r="AG383" s="701">
        <f t="shared" si="186"/>
        <v>-2.4969253402593896</v>
      </c>
      <c r="AH383" s="702">
        <f t="shared" si="187"/>
        <v>-72.162395828869009</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5">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1.0097619759734744</v>
      </c>
      <c r="N384" s="694">
        <f t="shared" si="174"/>
        <v>-0.13916334612574008</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-1.3752652392407241</v>
      </c>
      <c r="X384" s="699">
        <f t="shared" si="180"/>
        <v>-129.95885833606329</v>
      </c>
      <c r="Y384" s="702">
        <f t="shared" si="181"/>
        <v>50.041141663936713</v>
      </c>
      <c r="AA384" s="174">
        <f t="shared" si="182"/>
        <v>32924.5</v>
      </c>
      <c r="AB384" s="174">
        <f t="shared" si="183"/>
        <v>1084022700.25</v>
      </c>
      <c r="AD384" s="701">
        <f t="shared" si="184"/>
        <v>27.493916812102409</v>
      </c>
      <c r="AE384" s="702">
        <f t="shared" si="185"/>
        <v>-11.702906975829498</v>
      </c>
      <c r="AG384" s="701">
        <f t="shared" si="186"/>
        <v>-2.5406991266867407</v>
      </c>
      <c r="AH384" s="702">
        <f t="shared" si="187"/>
        <v>-72.086337362480435</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5">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1.0098735268442287</v>
      </c>
      <c r="N385" s="694">
        <f t="shared" si="174"/>
        <v>-0.1399497531617159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-1.4303411999524818</v>
      </c>
      <c r="X385" s="699">
        <f t="shared" si="180"/>
        <v>-130.17339427679104</v>
      </c>
      <c r="Y385" s="702">
        <f t="shared" si="181"/>
        <v>49.826605723208957</v>
      </c>
      <c r="AA385" s="174">
        <f t="shared" si="182"/>
        <v>33113</v>
      </c>
      <c r="AB385" s="174">
        <f t="shared" si="183"/>
        <v>1096470769</v>
      </c>
      <c r="AD385" s="701">
        <f t="shared" si="184"/>
        <v>27.49250762909076</v>
      </c>
      <c r="AE385" s="702">
        <f t="shared" si="185"/>
        <v>-11.742627491809641</v>
      </c>
      <c r="AG385" s="701">
        <f t="shared" si="186"/>
        <v>-2.5841599482281286</v>
      </c>
      <c r="AH385" s="702">
        <f t="shared" si="187"/>
        <v>-72.010257319838885</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5">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1.0099882384658541</v>
      </c>
      <c r="N386" s="694">
        <f t="shared" si="174"/>
        <v>-0.14075371071719633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-1.486393651370167</v>
      </c>
      <c r="X386" s="699">
        <f t="shared" si="180"/>
        <v>-130.39266579549678</v>
      </c>
      <c r="Y386" s="702">
        <f t="shared" si="181"/>
        <v>49.607334204503218</v>
      </c>
      <c r="AA386" s="174">
        <f t="shared" si="182"/>
        <v>33305.75</v>
      </c>
      <c r="AB386" s="174">
        <f t="shared" si="183"/>
        <v>1109272983.0625</v>
      </c>
      <c r="AD386" s="701">
        <f t="shared" si="184"/>
        <v>27.491060647860508</v>
      </c>
      <c r="AE386" s="702">
        <f t="shared" si="185"/>
        <v>-11.78338003166755</v>
      </c>
      <c r="AG386" s="701">
        <f t="shared" si="186"/>
        <v>-2.6282804627324978</v>
      </c>
      <c r="AH386" s="702">
        <f t="shared" si="187"/>
        <v>-71.93244200745373</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5">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1.0101036027425896</v>
      </c>
      <c r="N387" s="694">
        <f t="shared" si="174"/>
        <v>-0.14155748515156308</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-1.5421811656031046</v>
      </c>
      <c r="X387" s="699">
        <f t="shared" si="180"/>
        <v>-130.61183363472711</v>
      </c>
      <c r="Y387" s="702">
        <f t="shared" si="181"/>
        <v>49.388166365272895</v>
      </c>
      <c r="AA387" s="174">
        <f t="shared" si="182"/>
        <v>33498.5</v>
      </c>
      <c r="AB387" s="174">
        <f t="shared" si="183"/>
        <v>1122149502.25</v>
      </c>
      <c r="AD387" s="701">
        <f t="shared" si="184"/>
        <v>27.489607548293655</v>
      </c>
      <c r="AE387" s="702">
        <f t="shared" si="185"/>
        <v>-11.8242678246339</v>
      </c>
      <c r="AG387" s="701">
        <f t="shared" si="186"/>
        <v>-2.6720806570201345</v>
      </c>
      <c r="AH387" s="702">
        <f t="shared" si="187"/>
        <v>-71.854608902866971</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5">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1.0102196194508408</v>
      </c>
      <c r="N388" s="694">
        <f t="shared" si="174"/>
        <v>-0.14236107548916835</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-1.5977070033354945</v>
      </c>
      <c r="X388" s="699">
        <f t="shared" si="180"/>
        <v>-130.83089669441063</v>
      </c>
      <c r="Y388" s="702">
        <f t="shared" si="181"/>
        <v>49.169103305589374</v>
      </c>
      <c r="AA388" s="174">
        <f t="shared" si="182"/>
        <v>33691.25</v>
      </c>
      <c r="AB388" s="174">
        <f t="shared" si="183"/>
        <v>1135100326.5625</v>
      </c>
      <c r="AD388" s="701">
        <f t="shared" si="184"/>
        <v>27.488148306184709</v>
      </c>
      <c r="AE388" s="702">
        <f t="shared" si="185"/>
        <v>-11.865288174546645</v>
      </c>
      <c r="AG388" s="701">
        <f t="shared" si="186"/>
        <v>-2.7155639412419608</v>
      </c>
      <c r="AH388" s="702">
        <f t="shared" si="187"/>
        <v>-71.776760340246312</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5">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1.0103362883658524</v>
      </c>
      <c r="N389" s="694">
        <f t="shared" si="174"/>
        <v>-0.14316448075576213</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-1.652974367593254</v>
      </c>
      <c r="X389" s="699">
        <f t="shared" si="180"/>
        <v>-131.04985389175704</v>
      </c>
      <c r="Y389" s="702">
        <f t="shared" si="181"/>
        <v>48.950146108242961</v>
      </c>
      <c r="AA389" s="174">
        <f t="shared" si="182"/>
        <v>33884</v>
      </c>
      <c r="AB389" s="174">
        <f t="shared" si="183"/>
        <v>1148125456</v>
      </c>
      <c r="AD389" s="701">
        <f t="shared" si="184"/>
        <v>27.486682898253076</v>
      </c>
      <c r="AE389" s="702">
        <f t="shared" si="185"/>
        <v>-11.906438444619454</v>
      </c>
      <c r="AG389" s="701">
        <f t="shared" si="186"/>
        <v>-2.7587336691202125</v>
      </c>
      <c r="AH389" s="702">
        <f t="shared" si="187"/>
        <v>-71.698898604188884</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5">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1.0104565086676569</v>
      </c>
      <c r="N390" s="694">
        <f t="shared" si="174"/>
        <v>-0.14398749160998575</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-1.7093388871960555</v>
      </c>
      <c r="X390" s="699">
        <f t="shared" si="180"/>
        <v>-131.27409599920003</v>
      </c>
      <c r="Y390" s="702">
        <f t="shared" si="181"/>
        <v>48.725904000799972</v>
      </c>
      <c r="AA390" s="174">
        <f t="shared" si="182"/>
        <v>34081.5</v>
      </c>
      <c r="AB390" s="174">
        <f t="shared" si="183"/>
        <v>1161548642.25</v>
      </c>
      <c r="AD390" s="701">
        <f t="shared" si="184"/>
        <v>27.485174958784601</v>
      </c>
      <c r="AE390" s="702">
        <f t="shared" si="185"/>
        <v>-11.948734859277163</v>
      </c>
      <c r="AG390" s="701">
        <f t="shared" si="186"/>
        <v>-2.8026454495317537</v>
      </c>
      <c r="AH390" s="702">
        <f t="shared" si="187"/>
        <v>-71.619106770452575</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5">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1.0105774132358982</v>
      </c>
      <c r="N391" s="694">
        <f t="shared" si="174"/>
        <v>-0.14481030609287998</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-1.7654386656452732</v>
      </c>
      <c r="X391" s="699">
        <f t="shared" si="180"/>
        <v>-131.49822471479794</v>
      </c>
      <c r="Y391" s="702">
        <f t="shared" si="181"/>
        <v>48.501775285202058</v>
      </c>
      <c r="AA391" s="174">
        <f t="shared" si="182"/>
        <v>34279</v>
      </c>
      <c r="AB391" s="174">
        <f t="shared" si="183"/>
        <v>1175049841</v>
      </c>
      <c r="AD391" s="701">
        <f t="shared" si="184"/>
        <v>27.483660499217667</v>
      </c>
      <c r="AE391" s="702">
        <f t="shared" si="185"/>
        <v>-11.991162255388414</v>
      </c>
      <c r="AG391" s="701">
        <f t="shared" si="186"/>
        <v>-2.8462349817398751</v>
      </c>
      <c r="AH391" s="702">
        <f t="shared" si="187"/>
        <v>-71.539305808279479</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5">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1.0106990018250108</v>
      </c>
      <c r="N392" s="694">
        <f t="shared" si="174"/>
        <v>-0.14563292316098853</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-1.8212769687775665</v>
      </c>
      <c r="X392" s="699">
        <f t="shared" si="180"/>
        <v>-131.7222389277679</v>
      </c>
      <c r="Y392" s="702">
        <f t="shared" si="181"/>
        <v>48.277761072232096</v>
      </c>
      <c r="AA392" s="174">
        <f t="shared" si="182"/>
        <v>34476.5</v>
      </c>
      <c r="AB392" s="174">
        <f t="shared" si="183"/>
        <v>1188629052.25</v>
      </c>
      <c r="AD392" s="701">
        <f t="shared" si="184"/>
        <v>27.482139497335375</v>
      </c>
      <c r="AE392" s="702">
        <f t="shared" si="185"/>
        <v>-12.033717979606976</v>
      </c>
      <c r="AG392" s="701">
        <f t="shared" si="186"/>
        <v>-2.8895056974610749</v>
      </c>
      <c r="AH392" s="702">
        <f t="shared" si="187"/>
        <v>-71.45949802178734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5">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1.0108212741881586</v>
      </c>
      <c r="N393" s="694">
        <f t="shared" si="174"/>
        <v>-0.14645534177242431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-1.876857004487074</v>
      </c>
      <c r="X393" s="699">
        <f t="shared" si="180"/>
        <v>-131.94613754479033</v>
      </c>
      <c r="Y393" s="702">
        <f t="shared" si="181"/>
        <v>48.053862455209668</v>
      </c>
      <c r="AA393" s="174">
        <f t="shared" si="182"/>
        <v>34674</v>
      </c>
      <c r="AB393" s="174">
        <f t="shared" si="183"/>
        <v>1202286276</v>
      </c>
      <c r="AD393" s="701">
        <f t="shared" si="184"/>
        <v>27.480611931813272</v>
      </c>
      <c r="AE393" s="702">
        <f t="shared" si="185"/>
        <v>-12.076399436960759</v>
      </c>
      <c r="AG393" s="701">
        <f t="shared" si="186"/>
        <v>-2.9324609716594385</v>
      </c>
      <c r="AH393" s="702">
        <f t="shared" si="187"/>
        <v>-71.379685665958633</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5">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1.010946883474265</v>
      </c>
      <c r="N394" s="694">
        <f t="shared" si="174"/>
        <v>-0.14729525200922028</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-1.9333696793300268</v>
      </c>
      <c r="X394" s="699">
        <f t="shared" si="180"/>
        <v>-132.17473376025475</v>
      </c>
      <c r="Y394" s="702">
        <f t="shared" si="181"/>
        <v>47.825266239745247</v>
      </c>
      <c r="AA394" s="174">
        <f t="shared" si="182"/>
        <v>34875.75</v>
      </c>
      <c r="AB394" s="174">
        <f t="shared" si="183"/>
        <v>1216317938.0625</v>
      </c>
      <c r="AD394" s="701">
        <f t="shared" si="184"/>
        <v>27.479044696331094</v>
      </c>
      <c r="AE394" s="702">
        <f t="shared" si="185"/>
        <v>-12.120126537529956</v>
      </c>
      <c r="AG394" s="701">
        <f t="shared" si="186"/>
        <v>-2.9760183550194004</v>
      </c>
      <c r="AH394" s="702">
        <f t="shared" si="187"/>
        <v>-71.298153406132613</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5">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1.0110732057545542</v>
      </c>
      <c r="N395" s="694">
        <f t="shared" si="174"/>
        <v>-0.14813495296349335</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-1.9896194395073932</v>
      </c>
      <c r="X395" s="699">
        <f t="shared" si="180"/>
        <v>-132.40320709906979</v>
      </c>
      <c r="Y395" s="702">
        <f t="shared" si="181"/>
        <v>47.596792900930211</v>
      </c>
      <c r="AA395" s="174">
        <f t="shared" si="182"/>
        <v>35077.5</v>
      </c>
      <c r="AB395" s="174">
        <f t="shared" si="183"/>
        <v>1230431006.25</v>
      </c>
      <c r="AD395" s="701">
        <f t="shared" si="184"/>
        <v>27.47747056942513</v>
      </c>
      <c r="AE395" s="702">
        <f t="shared" si="185"/>
        <v>-12.16397954605509</v>
      </c>
      <c r="AG395" s="701">
        <f t="shared" si="186"/>
        <v>-3.0192535185402507</v>
      </c>
      <c r="AH395" s="702">
        <f t="shared" si="187"/>
        <v>-71.216620983641292</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5">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1.0112002407618181</v>
      </c>
      <c r="N396" s="694">
        <f t="shared" si="174"/>
        <v>-0.14897444352975667</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-2.0456095256619982</v>
      </c>
      <c r="X396" s="699">
        <f t="shared" si="180"/>
        <v>-132.63155644989828</v>
      </c>
      <c r="Y396" s="702">
        <f t="shared" si="181"/>
        <v>47.368443550101716</v>
      </c>
      <c r="AA396" s="174">
        <f t="shared" si="182"/>
        <v>35279.25</v>
      </c>
      <c r="AB396" s="174">
        <f t="shared" si="183"/>
        <v>1244625480.5625</v>
      </c>
      <c r="AD396" s="701">
        <f t="shared" si="184"/>
        <v>27.4758895310644</v>
      </c>
      <c r="AE396" s="702">
        <f t="shared" si="185"/>
        <v>-12.207955874625336</v>
      </c>
      <c r="AG396" s="701">
        <f t="shared" si="186"/>
        <v>-3.062169884553521</v>
      </c>
      <c r="AH396" s="702">
        <f t="shared" si="187"/>
        <v>-71.135090651527989</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5">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1.011327988227475</v>
      </c>
      <c r="N397" s="694">
        <f t="shared" ref="N397:N460" si="206">-ATAN(G397/z_RHP)</f>
        <v>-0.14981372260426346</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-2.1013431209159088</v>
      </c>
      <c r="X397" s="699">
        <f t="shared" ref="X397:X460" si="212">((L397+R397+N397+V397)-(J397+P397+T397))*radconv</f>
        <v>-132.85978071887433</v>
      </c>
      <c r="Y397" s="702">
        <f t="shared" ref="Y397:Y460" si="213">IF(X397&gt;0,X397,X397+180)</f>
        <v>47.140219281125667</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-3.1047708190034031</v>
      </c>
      <c r="AH397" s="702">
        <f t="shared" ref="AH397:AH460" si="219">(L397+N397-(J397+V397))*radconv</f>
        <v>-71.053564614680965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5">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1.0114596405576515</v>
      </c>
      <c r="N398" s="694">
        <f t="shared" si="206"/>
        <v>-0.15067358108424292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-2.1581951359878464</v>
      </c>
      <c r="X398" s="699">
        <f t="shared" si="212"/>
        <v>-133.09353020718143</v>
      </c>
      <c r="Y398" s="702">
        <f t="shared" si="213"/>
        <v>46.906469792818569</v>
      </c>
      <c r="AA398" s="174">
        <f t="shared" si="214"/>
        <v>35687.75</v>
      </c>
      <c r="AB398" s="174">
        <f t="shared" si="215"/>
        <v>1273615500.0625</v>
      </c>
      <c r="AD398" s="701">
        <f t="shared" si="216"/>
        <v>27.47266702860021</v>
      </c>
      <c r="AE398" s="702">
        <f t="shared" si="217"/>
        <v>-12.297365701216096</v>
      </c>
      <c r="AG398" s="701">
        <f t="shared" si="218"/>
        <v>-3.1481037471301203</v>
      </c>
      <c r="AH398" s="702">
        <f t="shared" si="219"/>
        <v>-70.970024819358159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5">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1.0115920405222214</v>
      </c>
      <c r="N399" s="694">
        <f t="shared" si="206"/>
        <v>-0.15153321511834733</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-2.2147843782619101</v>
      </c>
      <c r="X399" s="699">
        <f t="shared" si="212"/>
        <v>-133.32714606570386</v>
      </c>
      <c r="Y399" s="702">
        <f t="shared" si="213"/>
        <v>46.672853934296143</v>
      </c>
      <c r="AA399" s="174">
        <f t="shared" si="214"/>
        <v>35894.5</v>
      </c>
      <c r="AB399" s="174">
        <f t="shared" si="215"/>
        <v>1288415130.25</v>
      </c>
      <c r="AD399" s="701">
        <f t="shared" si="216"/>
        <v>27.471025178553212</v>
      </c>
      <c r="AE399" s="702">
        <f t="shared" si="217"/>
        <v>-12.342800053891933</v>
      </c>
      <c r="AG399" s="701">
        <f t="shared" si="218"/>
        <v>-3.1911123963616452</v>
      </c>
      <c r="AH399" s="702">
        <f t="shared" si="219"/>
        <v>-70.886494073536383</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5">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1.0117251878276661</v>
      </c>
      <c r="N400" s="694">
        <f t="shared" si="206"/>
        <v>-0.15239262352445523</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-2.2711140939103021</v>
      </c>
      <c r="X400" s="699">
        <f t="shared" si="212"/>
        <v>-133.56062717200143</v>
      </c>
      <c r="Y400" s="702">
        <f t="shared" si="213"/>
        <v>46.439372827998568</v>
      </c>
      <c r="AA400" s="174">
        <f t="shared" si="214"/>
        <v>36101.25</v>
      </c>
      <c r="AB400" s="174">
        <f t="shared" si="215"/>
        <v>1303300251.5625</v>
      </c>
      <c r="AD400" s="701">
        <f t="shared" si="216"/>
        <v>27.469375993891457</v>
      </c>
      <c r="AE400" s="702">
        <f t="shared" si="217"/>
        <v>-12.388353500991462</v>
      </c>
      <c r="AG400" s="701">
        <f t="shared" si="218"/>
        <v>-3.23380021308312</v>
      </c>
      <c r="AH400" s="702">
        <f t="shared" si="219"/>
        <v>-70.80297460074128</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5">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1.011859082178965</v>
      </c>
      <c r="N401" s="694">
        <f t="shared" si="206"/>
        <v>-0.15325180512239869</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-2.3271874712712108</v>
      </c>
      <c r="X401" s="699">
        <f t="shared" si="212"/>
        <v>-133.79397242137574</v>
      </c>
      <c r="Y401" s="702">
        <f t="shared" si="213"/>
        <v>46.206027578624258</v>
      </c>
      <c r="AA401" s="174">
        <f t="shared" si="214"/>
        <v>36308</v>
      </c>
      <c r="AB401" s="174">
        <f t="shared" si="215"/>
        <v>1318270864</v>
      </c>
      <c r="AD401" s="701">
        <f t="shared" si="216"/>
        <v>27.467719457401031</v>
      </c>
      <c r="AE401" s="702">
        <f t="shared" si="217"/>
        <v>-12.434023549230247</v>
      </c>
      <c r="AG401" s="701">
        <f t="shared" si="218"/>
        <v>-3.2761705869332185</v>
      </c>
      <c r="AH401" s="702">
        <f t="shared" si="219"/>
        <v>-70.719468576655373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5">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1.0119968253788305</v>
      </c>
      <c r="N402" s="694">
        <f t="shared" si="206"/>
        <v>-0.15413049016719832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-2.384287137657993</v>
      </c>
      <c r="X402" s="699">
        <f t="shared" si="212"/>
        <v>-134.03253697790231</v>
      </c>
      <c r="Y402" s="702">
        <f t="shared" si="213"/>
        <v>45.967463022097689</v>
      </c>
      <c r="AA402" s="174">
        <f t="shared" si="214"/>
        <v>36519.5</v>
      </c>
      <c r="AB402" s="174">
        <f t="shared" si="215"/>
        <v>1333673880.25</v>
      </c>
      <c r="AD402" s="701">
        <f t="shared" si="216"/>
        <v>27.466017238395398</v>
      </c>
      <c r="AE402" s="702">
        <f t="shared" si="217"/>
        <v>-12.480860956307399</v>
      </c>
      <c r="AG402" s="701">
        <f t="shared" si="218"/>
        <v>-3.3191894131839215</v>
      </c>
      <c r="AH402" s="702">
        <f t="shared" si="219"/>
        <v>-70.63406016980332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5">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1.0121353497156795</v>
      </c>
      <c r="N403" s="694">
        <f t="shared" si="206"/>
        <v>-0.15500893537034494</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-2.4411251219557895</v>
      </c>
      <c r="X403" s="699">
        <f t="shared" si="212"/>
        <v>-134.27095707996011</v>
      </c>
      <c r="Y403" s="702">
        <f t="shared" si="213"/>
        <v>45.729042920039888</v>
      </c>
      <c r="AA403" s="174">
        <f t="shared" si="214"/>
        <v>36731</v>
      </c>
      <c r="AB403" s="174">
        <f t="shared" si="215"/>
        <v>1349166361</v>
      </c>
      <c r="AD403" s="701">
        <f t="shared" si="216"/>
        <v>27.46430729195076</v>
      </c>
      <c r="AE403" s="702">
        <f t="shared" si="217"/>
        <v>-12.52781527754704</v>
      </c>
      <c r="AG403" s="701">
        <f t="shared" si="218"/>
        <v>-3.3618830422752479</v>
      </c>
      <c r="AH403" s="702">
        <f t="shared" si="219"/>
        <v>-70.548670294564815</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5">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1.0122746548688288</v>
      </c>
      <c r="N404" s="694">
        <f t="shared" si="206"/>
        <v>-0.15588713947484864</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-2.4977046579618252</v>
      </c>
      <c r="X404" s="699">
        <f t="shared" si="212"/>
        <v>-134.50923160029998</v>
      </c>
      <c r="Y404" s="702">
        <f t="shared" si="213"/>
        <v>45.490768399700016</v>
      </c>
      <c r="AA404" s="174">
        <f t="shared" si="214"/>
        <v>36942.5</v>
      </c>
      <c r="AB404" s="174">
        <f t="shared" si="215"/>
        <v>1364748306.25</v>
      </c>
      <c r="AD404" s="701">
        <f t="shared" si="216"/>
        <v>27.462589602142216</v>
      </c>
      <c r="AE404" s="702">
        <f t="shared" si="217"/>
        <v>-12.574884014987243</v>
      </c>
      <c r="AG404" s="701">
        <f t="shared" si="218"/>
        <v>-3.4042549267881745</v>
      </c>
      <c r="AH404" s="702">
        <f t="shared" si="219"/>
        <v>-70.463301132478577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5">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1.0124147405159647</v>
      </c>
      <c r="N405" s="694">
        <f t="shared" si="206"/>
        <v>-0.15676510122589699</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-2.5540289217392758</v>
      </c>
      <c r="X405" s="699">
        <f t="shared" si="212"/>
        <v>-134.74735942960211</v>
      </c>
      <c r="Y405" s="702">
        <f t="shared" si="213"/>
        <v>45.252640570397887</v>
      </c>
      <c r="AA405" s="174">
        <f t="shared" si="214"/>
        <v>37154</v>
      </c>
      <c r="AB405" s="174">
        <f t="shared" si="215"/>
        <v>1380419716</v>
      </c>
      <c r="AD405" s="701">
        <f t="shared" si="216"/>
        <v>27.46086415383499</v>
      </c>
      <c r="AE405" s="702">
        <f t="shared" si="217"/>
        <v>-12.622064725153844</v>
      </c>
      <c r="AG405" s="701">
        <f t="shared" si="218"/>
        <v>-3.4463084625986462</v>
      </c>
      <c r="AH405" s="702">
        <f t="shared" si="219"/>
        <v>-70.377954817841882</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5">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1.0125587789412633</v>
      </c>
      <c r="N406" s="694">
        <f t="shared" si="206"/>
        <v>-0.15766252891026147</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-2.6113574643992026</v>
      </c>
      <c r="X406" s="699">
        <f t="shared" si="212"/>
        <v>-134.99068247654483</v>
      </c>
      <c r="Y406" s="702">
        <f t="shared" si="213"/>
        <v>45.009317523455167</v>
      </c>
      <c r="AA406" s="174">
        <f t="shared" si="214"/>
        <v>37370.25</v>
      </c>
      <c r="AB406" s="174">
        <f t="shared" si="215"/>
        <v>1396535585.0625</v>
      </c>
      <c r="AD406" s="701">
        <f t="shared" si="216"/>
        <v>27.459091917536806</v>
      </c>
      <c r="AE406" s="702">
        <f t="shared" si="217"/>
        <v>-12.670418332623997</v>
      </c>
      <c r="AG406" s="701">
        <f t="shared" si="218"/>
        <v>-3.4889807890236071</v>
      </c>
      <c r="AH406" s="702">
        <f t="shared" si="219"/>
        <v>-70.29071753992443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5">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1.0127036326251957</v>
      </c>
      <c r="N407" s="694">
        <f t="shared" si="206"/>
        <v>-0.15855970058700652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-2.6684256760829261</v>
      </c>
      <c r="X407" s="699">
        <f t="shared" si="212"/>
        <v>-135.23384987991165</v>
      </c>
      <c r="Y407" s="702">
        <f t="shared" si="213"/>
        <v>44.766150120088355</v>
      </c>
      <c r="AA407" s="174">
        <f t="shared" si="214"/>
        <v>37586.5</v>
      </c>
      <c r="AB407" s="174">
        <f t="shared" si="215"/>
        <v>1412744982.25</v>
      </c>
      <c r="AD407" s="701">
        <f t="shared" si="216"/>
        <v>27.457311540756137</v>
      </c>
      <c r="AE407" s="702">
        <f t="shared" si="217"/>
        <v>-12.7188840003178</v>
      </c>
      <c r="AG407" s="701">
        <f t="shared" si="218"/>
        <v>-3.5313273108462679</v>
      </c>
      <c r="AH407" s="702">
        <f t="shared" si="219"/>
        <v>-70.203508513779497</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5">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1.012849301217976</v>
      </c>
      <c r="N408" s="694">
        <f t="shared" si="206"/>
        <v>-0.1594566149219854</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-2.7252367729314275</v>
      </c>
      <c r="X408" s="699">
        <f t="shared" si="212"/>
        <v>-135.47686050985124</v>
      </c>
      <c r="Y408" s="702">
        <f t="shared" si="213"/>
        <v>44.523139490148765</v>
      </c>
      <c r="AA408" s="174">
        <f t="shared" si="214"/>
        <v>37802.75</v>
      </c>
      <c r="AB408" s="174">
        <f t="shared" si="215"/>
        <v>1429047907.5625</v>
      </c>
      <c r="AD408" s="701">
        <f t="shared" si="216"/>
        <v>27.455523009715833</v>
      </c>
      <c r="AE408" s="702">
        <f t="shared" si="217"/>
        <v>-12.767459283308375</v>
      </c>
      <c r="AG408" s="701">
        <f t="shared" si="218"/>
        <v>-3.5733514822581873</v>
      </c>
      <c r="AH408" s="702">
        <f t="shared" si="219"/>
        <v>-70.116329875224622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5">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1.0129957843680533</v>
      </c>
      <c r="N409" s="694">
        <f t="shared" si="206"/>
        <v>-0.16035327058347282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-2.7817939135675895</v>
      </c>
      <c r="X409" s="699">
        <f t="shared" si="212"/>
        <v>-135.71971325463497</v>
      </c>
      <c r="Y409" s="702">
        <f t="shared" si="213"/>
        <v>44.280286745365032</v>
      </c>
      <c r="AA409" s="174">
        <f t="shared" si="214"/>
        <v>38019</v>
      </c>
      <c r="AB409" s="174">
        <f t="shared" si="215"/>
        <v>1445444361</v>
      </c>
      <c r="AD409" s="701">
        <f t="shared" si="216"/>
        <v>27.453726311396565</v>
      </c>
      <c r="AE409" s="702">
        <f t="shared" si="217"/>
        <v>-12.816141789795978</v>
      </c>
      <c r="AG409" s="701">
        <f t="shared" si="218"/>
        <v>-3.6150567008960981</v>
      </c>
      <c r="AH409" s="702">
        <f t="shared" si="219"/>
        <v>-70.029183713475447</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5">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1.0131466678476111</v>
      </c>
      <c r="N410" s="694">
        <f t="shared" si="206"/>
        <v>-0.16127142520505625</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-2.8394640805522595</v>
      </c>
      <c r="X410" s="699">
        <f t="shared" si="212"/>
        <v>-135.96829702196817</v>
      </c>
      <c r="Y410" s="702">
        <f t="shared" si="213"/>
        <v>44.031702978031831</v>
      </c>
      <c r="AA410" s="174">
        <f t="shared" si="214"/>
        <v>38240.5</v>
      </c>
      <c r="AB410" s="174">
        <f t="shared" si="215"/>
        <v>1462335840.25</v>
      </c>
      <c r="AD410" s="701">
        <f t="shared" si="216"/>
        <v>27.451877513869608</v>
      </c>
      <c r="AE410" s="702">
        <f t="shared" si="217"/>
        <v>-12.866114898106712</v>
      </c>
      <c r="AG410" s="701">
        <f t="shared" si="218"/>
        <v>-3.6574472471133586</v>
      </c>
      <c r="AH410" s="702">
        <f t="shared" si="219"/>
        <v>-69.939957669293932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5">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1.0132984051630496</v>
      </c>
      <c r="N411" s="694">
        <f t="shared" si="206"/>
        <v>-0.162189305620386</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-2.8968743396441643</v>
      </c>
      <c r="X411" s="699">
        <f t="shared" si="212"/>
        <v>-136.21671284075404</v>
      </c>
      <c r="Y411" s="702">
        <f t="shared" si="213"/>
        <v>43.783287159245958</v>
      </c>
      <c r="AA411" s="174">
        <f t="shared" si="214"/>
        <v>38462</v>
      </c>
      <c r="AB411" s="174">
        <f t="shared" si="215"/>
        <v>1479325444</v>
      </c>
      <c r="AD411" s="701">
        <f t="shared" si="216"/>
        <v>27.450020122372241</v>
      </c>
      <c r="AE411" s="702">
        <f t="shared" si="217"/>
        <v>-12.916195584196206</v>
      </c>
      <c r="AG411" s="701">
        <f t="shared" si="218"/>
        <v>-3.699510205207166</v>
      </c>
      <c r="AH411" s="702">
        <f t="shared" si="219"/>
        <v>-69.850769990101</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5">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1.0134509959308506</v>
      </c>
      <c r="N412" s="694">
        <f t="shared" si="206"/>
        <v>-0.16310691040633951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-2.954027905952894</v>
      </c>
      <c r="X412" s="699">
        <f t="shared" si="212"/>
        <v>-136.4649595732356</v>
      </c>
      <c r="Y412" s="702">
        <f t="shared" si="213"/>
        <v>43.535040426764397</v>
      </c>
      <c r="AA412" s="174">
        <f t="shared" si="214"/>
        <v>38683.5</v>
      </c>
      <c r="AB412" s="174">
        <f t="shared" si="215"/>
        <v>1496413172.25</v>
      </c>
      <c r="AD412" s="701">
        <f t="shared" si="216"/>
        <v>27.44815412523149</v>
      </c>
      <c r="AE412" s="702">
        <f t="shared" si="217"/>
        <v>-12.966381441560925</v>
      </c>
      <c r="AG412" s="701">
        <f t="shared" si="218"/>
        <v>-3.7412490500315498</v>
      </c>
      <c r="AH412" s="702">
        <f t="shared" si="219"/>
        <v>-69.761622776460456</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5">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1.0136044397655712</v>
      </c>
      <c r="N413" s="694">
        <f t="shared" si="206"/>
        <v>-0.16402423814250541</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-3.0109279368803463</v>
      </c>
      <c r="X413" s="699">
        <f t="shared" si="212"/>
        <v>-136.71303610014601</v>
      </c>
      <c r="Y413" s="702">
        <f t="shared" si="213"/>
        <v>43.286963899853987</v>
      </c>
      <c r="AA413" s="174">
        <f t="shared" si="214"/>
        <v>38905</v>
      </c>
      <c r="AB413" s="174">
        <f t="shared" si="215"/>
        <v>1513599025</v>
      </c>
      <c r="AD413" s="701">
        <f t="shared" si="216"/>
        <v>27.446279511507051</v>
      </c>
      <c r="AE413" s="702">
        <f t="shared" si="217"/>
        <v>-13.016670115871062</v>
      </c>
      <c r="AG413" s="701">
        <f t="shared" si="218"/>
        <v>-3.7826671996302217</v>
      </c>
      <c r="AH413" s="702">
        <f t="shared" si="219"/>
        <v>-69.672518082588752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5">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1.0137622291092823</v>
      </c>
      <c r="N414" s="694">
        <f t="shared" si="206"/>
        <v>-0.16496198507268506</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-3.0688534387968245</v>
      </c>
      <c r="X414" s="699">
        <f t="shared" si="212"/>
        <v>-136.96653538941032</v>
      </c>
      <c r="Y414" s="702">
        <f t="shared" si="213"/>
        <v>43.033464610589675</v>
      </c>
      <c r="AA414" s="174">
        <f t="shared" si="214"/>
        <v>39131.5</v>
      </c>
      <c r="AB414" s="174">
        <f t="shared" si="215"/>
        <v>1531274292.25</v>
      </c>
      <c r="AD414" s="701">
        <f t="shared" si="216"/>
        <v>27.444353660253434</v>
      </c>
      <c r="AE414" s="702">
        <f t="shared" si="217"/>
        <v>-13.068197899390878</v>
      </c>
      <c r="AG414" s="701">
        <f t="shared" si="218"/>
        <v>-3.8246921635546745</v>
      </c>
      <c r="AH414" s="702">
        <f t="shared" si="219"/>
        <v>-69.581448059329261</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5">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1.0139209096464561</v>
      </c>
      <c r="N415" s="694">
        <f t="shared" si="206"/>
        <v>-0.16589943930868764</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-3.1265203284403116</v>
      </c>
      <c r="X415" s="699">
        <f t="shared" si="212"/>
        <v>-137.2198543927199</v>
      </c>
      <c r="Y415" s="702">
        <f t="shared" si="213"/>
        <v>42.780145607280105</v>
      </c>
      <c r="AA415" s="174">
        <f t="shared" si="214"/>
        <v>39358</v>
      </c>
      <c r="AB415" s="174">
        <f t="shared" si="215"/>
        <v>1549052164</v>
      </c>
      <c r="AD415" s="701">
        <f t="shared" si="216"/>
        <v>27.442418778123113</v>
      </c>
      <c r="AE415" s="702">
        <f t="shared" si="217"/>
        <v>-13.119828375621559</v>
      </c>
      <c r="AG415" s="701">
        <f t="shared" si="218"/>
        <v>-3.8663888430354634</v>
      </c>
      <c r="AH415" s="702">
        <f t="shared" si="219"/>
        <v>-69.490426698204374</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5">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1.0140804809587383</v>
      </c>
      <c r="N416" s="694">
        <f t="shared" si="206"/>
        <v>-0.16683659934059367</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-3.1839318031661392</v>
      </c>
      <c r="X416" s="699">
        <f t="shared" si="212"/>
        <v>-137.47299197109103</v>
      </c>
      <c r="Y416" s="702">
        <f t="shared" si="213"/>
        <v>42.527008028908966</v>
      </c>
      <c r="AA416" s="174">
        <f t="shared" si="214"/>
        <v>39584.5</v>
      </c>
      <c r="AB416" s="174">
        <f t="shared" si="215"/>
        <v>1566932640.25</v>
      </c>
      <c r="AD416" s="701">
        <f t="shared" si="216"/>
        <v>27.440474855646734</v>
      </c>
      <c r="AE416" s="702">
        <f t="shared" si="217"/>
        <v>-13.171559187062083</v>
      </c>
      <c r="AG416" s="701">
        <f t="shared" si="218"/>
        <v>-3.9077607167846846</v>
      </c>
      <c r="AH416" s="702">
        <f t="shared" si="219"/>
        <v>-69.399456052716872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5">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1.01424094262569</v>
      </c>
      <c r="N417" s="694">
        <f t="shared" si="206"/>
        <v>-0.16777346366149831</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-3.2410910028210873</v>
      </c>
      <c r="X417" s="699">
        <f t="shared" si="212"/>
        <v>-137.72594700432236</v>
      </c>
      <c r="Y417" s="702">
        <f t="shared" si="213"/>
        <v>42.274052995677636</v>
      </c>
      <c r="AA417" s="174">
        <f t="shared" si="214"/>
        <v>39811</v>
      </c>
      <c r="AB417" s="174">
        <f t="shared" si="215"/>
        <v>1584915721</v>
      </c>
      <c r="AD417" s="701">
        <f t="shared" si="216"/>
        <v>27.438521884059238</v>
      </c>
      <c r="AE417" s="702">
        <f t="shared" si="217"/>
        <v>-13.223388027112907</v>
      </c>
      <c r="AG417" s="701">
        <f t="shared" si="218"/>
        <v>-3.9488112068230805</v>
      </c>
      <c r="AH417" s="702">
        <f t="shared" si="219"/>
        <v>-69.308538130530536</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5">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1.0144060447119734</v>
      </c>
      <c r="N418" s="694">
        <f t="shared" si="206"/>
        <v>-0.16873173574021216</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-3.2993171866157995</v>
      </c>
      <c r="X418" s="699">
        <f t="shared" si="212"/>
        <v>-137.98457514368678</v>
      </c>
      <c r="Y418" s="702">
        <f t="shared" si="213"/>
        <v>42.015424856313217</v>
      </c>
      <c r="AA418" s="174">
        <f t="shared" si="214"/>
        <v>40042.75</v>
      </c>
      <c r="AB418" s="174">
        <f t="shared" si="215"/>
        <v>1603421827.5625</v>
      </c>
      <c r="AD418" s="701">
        <f t="shared" si="216"/>
        <v>27.436514270328203</v>
      </c>
      <c r="AE418" s="702">
        <f t="shared" si="217"/>
        <v>-13.276517307153574</v>
      </c>
      <c r="AG418" s="701">
        <f t="shared" si="218"/>
        <v>-3.9904840654596772</v>
      </c>
      <c r="AH418" s="702">
        <f t="shared" si="219"/>
        <v>-69.21556945700253</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5">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1.0145720780088228</v>
      </c>
      <c r="N419" s="694">
        <f t="shared" si="206"/>
        <v>-0.16968969505860484</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-3.3572857365652986</v>
      </c>
      <c r="X419" s="699">
        <f t="shared" si="212"/>
        <v>-138.24300986361143</v>
      </c>
      <c r="Y419" s="702">
        <f t="shared" si="213"/>
        <v>41.756990136388566</v>
      </c>
      <c r="AA419" s="174">
        <f t="shared" si="214"/>
        <v>40274.5</v>
      </c>
      <c r="AB419" s="174">
        <f t="shared" si="215"/>
        <v>1622035350.25</v>
      </c>
      <c r="AD419" s="701">
        <f t="shared" si="216"/>
        <v>27.434497166727411</v>
      </c>
      <c r="AE419" s="702">
        <f t="shared" si="217"/>
        <v>-13.329744484432874</v>
      </c>
      <c r="AG419" s="701">
        <f t="shared" si="218"/>
        <v>-4.0318275408838637</v>
      </c>
      <c r="AH419" s="702">
        <f t="shared" si="219"/>
        <v>-69.122660089422396</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5">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1.0147390420591396</v>
      </c>
      <c r="N420" s="694">
        <f t="shared" si="206"/>
        <v>-0.17064734001242099</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-3.4149998374712083</v>
      </c>
      <c r="X420" s="699">
        <f t="shared" si="212"/>
        <v>-138.50125002308212</v>
      </c>
      <c r="Y420" s="702">
        <f t="shared" si="213"/>
        <v>41.498749976917878</v>
      </c>
      <c r="AA420" s="174">
        <f t="shared" si="214"/>
        <v>40506.25</v>
      </c>
      <c r="AB420" s="174">
        <f t="shared" si="215"/>
        <v>1640756289.0625</v>
      </c>
      <c r="AD420" s="701">
        <f t="shared" si="216"/>
        <v>27.432470566015738</v>
      </c>
      <c r="AE420" s="702">
        <f t="shared" si="217"/>
        <v>-13.383067244539523</v>
      </c>
      <c r="AG420" s="701">
        <f t="shared" si="218"/>
        <v>-4.072845122556715</v>
      </c>
      <c r="AH420" s="702">
        <f t="shared" si="219"/>
        <v>-69.029812036525641</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5">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1.0149069364035646</v>
      </c>
      <c r="N421" s="694">
        <f t="shared" si="206"/>
        <v>-0.17160466900076438</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-3.472462616691943</v>
      </c>
      <c r="X421" s="699">
        <f t="shared" si="212"/>
        <v>-138.75929450025086</v>
      </c>
      <c r="Y421" s="702">
        <f t="shared" si="213"/>
        <v>41.24070549974914</v>
      </c>
      <c r="AA421" s="174">
        <f t="shared" si="214"/>
        <v>40738</v>
      </c>
      <c r="AB421" s="174">
        <f t="shared" si="215"/>
        <v>1659584644</v>
      </c>
      <c r="AD421" s="701">
        <f t="shared" si="216"/>
        <v>27.430434461631258</v>
      </c>
      <c r="AE421" s="702">
        <f t="shared" si="217"/>
        <v>-13.436483322847845</v>
      </c>
      <c r="AG421" s="701">
        <f t="shared" si="218"/>
        <v>-4.1135402432260024</v>
      </c>
      <c r="AH421" s="702">
        <f t="shared" si="219"/>
        <v>-68.937027261550739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5">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1.0150797784869228</v>
      </c>
      <c r="N422" s="694">
        <f t="shared" si="206"/>
        <v>-0.17258438880059548</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-3.5310319966807553</v>
      </c>
      <c r="X422" s="699">
        <f t="shared" si="212"/>
        <v>-139.02325915535866</v>
      </c>
      <c r="Y422" s="702">
        <f t="shared" si="213"/>
        <v>40.976740844641341</v>
      </c>
      <c r="AA422" s="174">
        <f t="shared" si="214"/>
        <v>40975.25</v>
      </c>
      <c r="AB422" s="174">
        <f t="shared" si="215"/>
        <v>1678971112.5625</v>
      </c>
      <c r="AD422" s="701">
        <f t="shared" si="216"/>
        <v>27.428340184632084</v>
      </c>
      <c r="AE422" s="702">
        <f t="shared" si="217"/>
        <v>-13.491261449519374</v>
      </c>
      <c r="AG422" s="701">
        <f t="shared" si="218"/>
        <v>-4.1548706544586063</v>
      </c>
      <c r="AH422" s="702">
        <f t="shared" si="219"/>
        <v>-68.842108026158485</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5">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1.0152535945632122</v>
      </c>
      <c r="N423" s="694">
        <f t="shared" si="206"/>
        <v>-0.17356377407516785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-3.5893444385598055</v>
      </c>
      <c r="X423" s="699">
        <f t="shared" si="212"/>
        <v>-139.28701641065746</v>
      </c>
      <c r="Y423" s="702">
        <f t="shared" si="213"/>
        <v>40.712983589342542</v>
      </c>
      <c r="AA423" s="174">
        <f t="shared" si="214"/>
        <v>41212.5</v>
      </c>
      <c r="AB423" s="174">
        <f t="shared" si="215"/>
        <v>1698470156.25</v>
      </c>
      <c r="AD423" s="701">
        <f t="shared" si="216"/>
        <v>27.426235935688904</v>
      </c>
      <c r="AE423" s="702">
        <f t="shared" si="217"/>
        <v>-13.546132727083492</v>
      </c>
      <c r="AG423" s="701">
        <f t="shared" si="218"/>
        <v>-4.1958702214552623</v>
      </c>
      <c r="AH423" s="702">
        <f t="shared" si="219"/>
        <v>-68.747259130338165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5">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1.0154283841322624</v>
      </c>
      <c r="N424" s="694">
        <f t="shared" si="206"/>
        <v>-0.17454282311790928</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-3.6474031190687333</v>
      </c>
      <c r="X424" s="699">
        <f t="shared" si="212"/>
        <v>-139.55056512279683</v>
      </c>
      <c r="Y424" s="702">
        <f t="shared" si="213"/>
        <v>40.449434877203174</v>
      </c>
      <c r="AA424" s="174">
        <f t="shared" si="214"/>
        <v>41449.75</v>
      </c>
      <c r="AB424" s="174">
        <f t="shared" si="215"/>
        <v>1718081775.0625</v>
      </c>
      <c r="AD424" s="701">
        <f t="shared" si="216"/>
        <v>27.424121709837614</v>
      </c>
      <c r="AE424" s="702">
        <f t="shared" si="217"/>
        <v>-13.60109487902081</v>
      </c>
      <c r="AG424" s="701">
        <f t="shared" si="218"/>
        <v>-4.2365424507303056</v>
      </c>
      <c r="AH424" s="702">
        <f t="shared" si="219"/>
        <v>-68.652482539366673</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5">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1.0156041466914478</v>
      </c>
      <c r="N425" s="694">
        <f t="shared" si="206"/>
        <v>-0.17552153422599745</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-3.7052111574516697</v>
      </c>
      <c r="X425" s="699">
        <f t="shared" si="212"/>
        <v>-139.81390416806693</v>
      </c>
      <c r="Y425" s="702">
        <f t="shared" si="213"/>
        <v>40.186095831933073</v>
      </c>
      <c r="AA425" s="174">
        <f t="shared" si="214"/>
        <v>41687</v>
      </c>
      <c r="AB425" s="174">
        <f t="shared" si="215"/>
        <v>1737805969</v>
      </c>
      <c r="AD425" s="701">
        <f t="shared" si="216"/>
        <v>27.421997502771212</v>
      </c>
      <c r="AE425" s="702">
        <f t="shared" si="217"/>
        <v>-13.656145677616612</v>
      </c>
      <c r="AG425" s="701">
        <f t="shared" si="218"/>
        <v>-4.2768907919353696</v>
      </c>
      <c r="AH425" s="702">
        <f t="shared" si="219"/>
        <v>-68.557780173214624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5">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1.0157849903894864</v>
      </c>
      <c r="N426" s="694">
        <f t="shared" si="206"/>
        <v>-0.17652258255704756</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-3.7641030883603301</v>
      </c>
      <c r="X426" s="699">
        <f t="shared" si="212"/>
        <v>-140.08312985146986</v>
      </c>
      <c r="Y426" s="702">
        <f t="shared" si="213"/>
        <v>39.916870148530137</v>
      </c>
      <c r="AA426" s="174">
        <f t="shared" si="214"/>
        <v>41929.75</v>
      </c>
      <c r="AB426" s="174">
        <f t="shared" si="215"/>
        <v>1758103935.0625</v>
      </c>
      <c r="AD426" s="701">
        <f t="shared" si="216"/>
        <v>27.419813716902496</v>
      </c>
      <c r="AE426" s="702">
        <f t="shared" si="217"/>
        <v>-13.712562159379745</v>
      </c>
      <c r="AG426" s="701">
        <f t="shared" si="218"/>
        <v>-4.3178428023884816</v>
      </c>
      <c r="AH426" s="702">
        <f t="shared" si="219"/>
        <v>-68.460961170707037</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5">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1.0159668516404134</v>
      </c>
      <c r="N427" s="694">
        <f t="shared" si="206"/>
        <v>-0.17752327350901151</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-3.8227390496270806</v>
      </c>
      <c r="X427" s="699">
        <f t="shared" si="212"/>
        <v>-140.35213371565447</v>
      </c>
      <c r="Y427" s="702">
        <f t="shared" si="213"/>
        <v>39.647866284345525</v>
      </c>
      <c r="AA427" s="174">
        <f t="shared" si="214"/>
        <v>42172.5</v>
      </c>
      <c r="AB427" s="174">
        <f t="shared" si="215"/>
        <v>1778519756.25</v>
      </c>
      <c r="AD427" s="701">
        <f t="shared" si="216"/>
        <v>27.417619474576711</v>
      </c>
      <c r="AE427" s="702">
        <f t="shared" si="217"/>
        <v>-13.769066877680544</v>
      </c>
      <c r="AG427" s="701">
        <f t="shared" si="218"/>
        <v>-4.3584628635584943</v>
      </c>
      <c r="AH427" s="702">
        <f t="shared" si="219"/>
        <v>-68.364223800346295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5">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1.0161497298978917</v>
      </c>
      <c r="N428" s="694">
        <f t="shared" si="206"/>
        <v>-0.17852360527016239</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-3.8811222040782161</v>
      </c>
      <c r="X428" s="699">
        <f t="shared" si="212"/>
        <v>-140.62091461865344</v>
      </c>
      <c r="Y428" s="702">
        <f t="shared" si="213"/>
        <v>39.379085381346556</v>
      </c>
      <c r="AA428" s="174">
        <f t="shared" si="214"/>
        <v>42415.25</v>
      </c>
      <c r="AB428" s="174">
        <f t="shared" si="215"/>
        <v>1799053432.5625</v>
      </c>
      <c r="AD428" s="701">
        <f t="shared" si="216"/>
        <v>27.415414773186143</v>
      </c>
      <c r="AE428" s="702">
        <f t="shared" si="217"/>
        <v>-13.825657596160246</v>
      </c>
      <c r="AG428" s="701">
        <f t="shared" si="218"/>
        <v>-4.3987544939931205</v>
      </c>
      <c r="AH428" s="702">
        <f t="shared" si="219"/>
        <v>-68.267569978441642</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5">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1.0163336246129233</v>
      </c>
      <c r="N429" s="694">
        <f t="shared" si="206"/>
        <v>-0.17952357603294922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-3.9392556571229091</v>
      </c>
      <c r="X429" s="699">
        <f t="shared" si="212"/>
        <v>-140.8894714386235</v>
      </c>
      <c r="Y429" s="702">
        <f t="shared" si="213"/>
        <v>39.110528561376498</v>
      </c>
      <c r="AA429" s="174">
        <f t="shared" si="214"/>
        <v>42658</v>
      </c>
      <c r="AB429" s="174">
        <f t="shared" si="215"/>
        <v>1819704964</v>
      </c>
      <c r="AD429" s="701">
        <f t="shared" si="216"/>
        <v>27.413199610758102</v>
      </c>
      <c r="AE429" s="702">
        <f t="shared" si="217"/>
        <v>-13.882332126206341</v>
      </c>
      <c r="AG429" s="701">
        <f t="shared" si="218"/>
        <v>-4.4387211553451769</v>
      </c>
      <c r="AH429" s="702">
        <f t="shared" si="219"/>
        <v>-68.171001576229784</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5">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1.0165229275093826</v>
      </c>
      <c r="N430" s="694">
        <f t="shared" si="206"/>
        <v>-0.18054685721518918</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-3.9985106523235485</v>
      </c>
      <c r="X430" s="699">
        <f t="shared" si="212"/>
        <v>-141.16415628463753</v>
      </c>
      <c r="Y430" s="702">
        <f t="shared" si="213"/>
        <v>38.835843715362472</v>
      </c>
      <c r="AA430" s="174">
        <f t="shared" si="214"/>
        <v>42906.5</v>
      </c>
      <c r="AB430" s="174">
        <f t="shared" si="215"/>
        <v>1840967742.25</v>
      </c>
      <c r="AD430" s="701">
        <f t="shared" si="216"/>
        <v>27.410921140883278</v>
      </c>
      <c r="AE430" s="702">
        <f t="shared" si="217"/>
        <v>-13.940433678135387</v>
      </c>
      <c r="AG430" s="701">
        <f t="shared" si="218"/>
        <v>-4.4793014528377624</v>
      </c>
      <c r="AH430" s="702">
        <f t="shared" si="219"/>
        <v>-68.072236151925907</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5">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1.0167132944144339</v>
      </c>
      <c r="N431" s="694">
        <f t="shared" si="206"/>
        <v>-0.18156975627485736</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-4.0575103836321906</v>
      </c>
      <c r="X431" s="699">
        <f t="shared" si="212"/>
        <v>-141.43860399033267</v>
      </c>
      <c r="Y431" s="702">
        <f t="shared" si="213"/>
        <v>38.561396009667334</v>
      </c>
      <c r="AA431" s="174">
        <f t="shared" si="214"/>
        <v>43155</v>
      </c>
      <c r="AB431" s="174">
        <f t="shared" si="215"/>
        <v>1862354025</v>
      </c>
      <c r="AD431" s="701">
        <f t="shared" si="216"/>
        <v>27.408631706293825</v>
      </c>
      <c r="AE431" s="702">
        <f t="shared" si="217"/>
        <v>-13.998618565344948</v>
      </c>
      <c r="AG431" s="701">
        <f t="shared" si="218"/>
        <v>-4.5195483677959709</v>
      </c>
      <c r="AH431" s="702">
        <f t="shared" si="219"/>
        <v>-67.973564070082602</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5">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1.0169047247305227</v>
      </c>
      <c r="N432" s="694">
        <f t="shared" si="206"/>
        <v>-0.18259227128659539</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-4.1162580039271894</v>
      </c>
      <c r="X432" s="699">
        <f t="shared" si="212"/>
        <v>-141.71281341565054</v>
      </c>
      <c r="Y432" s="702">
        <f t="shared" si="213"/>
        <v>38.287186584349456</v>
      </c>
      <c r="AA432" s="174">
        <f t="shared" si="214"/>
        <v>43403.5</v>
      </c>
      <c r="AB432" s="174">
        <f t="shared" si="215"/>
        <v>1883863812.25</v>
      </c>
      <c r="AD432" s="701">
        <f t="shared" si="216"/>
        <v>27.406331306816305</v>
      </c>
      <c r="AE432" s="702">
        <f t="shared" si="217"/>
        <v>-14.056884586904276</v>
      </c>
      <c r="AG432" s="701">
        <f t="shared" si="218"/>
        <v>-4.5594654366957235</v>
      </c>
      <c r="AH432" s="702">
        <f t="shared" si="219"/>
        <v>-67.874987198174821</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5">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1.0170972178572075</v>
      </c>
      <c r="N433" s="694">
        <f t="shared" si="206"/>
        <v>-0.18361440032970291</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-4.1747566086432437</v>
      </c>
      <c r="X433" s="699">
        <f t="shared" si="212"/>
        <v>-141.98678344123158</v>
      </c>
      <c r="Y433" s="702">
        <f t="shared" si="213"/>
        <v>38.01321655876842</v>
      </c>
      <c r="AA433" s="174">
        <f t="shared" si="214"/>
        <v>43652</v>
      </c>
      <c r="AB433" s="174">
        <f t="shared" si="215"/>
        <v>1905497104</v>
      </c>
      <c r="AD433" s="701">
        <f t="shared" si="216"/>
        <v>27.404019942892816</v>
      </c>
      <c r="AE433" s="702">
        <f t="shared" si="217"/>
        <v>-14.115229588692419</v>
      </c>
      <c r="AG433" s="701">
        <f t="shared" si="218"/>
        <v>-4.5990561389669606</v>
      </c>
      <c r="AH433" s="702">
        <f t="shared" si="219"/>
        <v>-67.776507358695895</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5">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1.0172950691224008</v>
      </c>
      <c r="N434" s="694">
        <f t="shared" si="206"/>
        <v>-0.18465875107550522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-4.2342957712162361</v>
      </c>
      <c r="X434" s="699">
        <f t="shared" si="212"/>
        <v>-142.26656863945269</v>
      </c>
      <c r="Y434" s="702">
        <f t="shared" si="213"/>
        <v>37.733431360547314</v>
      </c>
      <c r="AA434" s="174">
        <f t="shared" si="214"/>
        <v>43906</v>
      </c>
      <c r="AB434" s="174">
        <f t="shared" si="215"/>
        <v>1927736836</v>
      </c>
      <c r="AD434" s="701">
        <f t="shared" si="216"/>
        <v>27.401646091963926</v>
      </c>
      <c r="AE434" s="702">
        <f t="shared" si="217"/>
        <v>-14.174945355245034</v>
      </c>
      <c r="AG434" s="701">
        <f t="shared" si="218"/>
        <v>-4.6391893764824728</v>
      </c>
      <c r="AH434" s="702">
        <f t="shared" si="219"/>
        <v>-67.675950013895303</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5">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1.0174940294870594</v>
      </c>
      <c r="N435" s="694">
        <f t="shared" si="206"/>
        <v>-0.18570269453570179</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-4.2935811349495259</v>
      </c>
      <c r="X435" s="699">
        <f t="shared" si="212"/>
        <v>-142.54610142344913</v>
      </c>
      <c r="Y435" s="702">
        <f t="shared" si="213"/>
        <v>37.45389857655087</v>
      </c>
      <c r="AA435" s="174">
        <f t="shared" si="214"/>
        <v>44160</v>
      </c>
      <c r="AB435" s="174">
        <f t="shared" si="215"/>
        <v>1950105600</v>
      </c>
      <c r="AD435" s="701">
        <f t="shared" si="216"/>
        <v>27.39926078869199</v>
      </c>
      <c r="AE435" s="702">
        <f t="shared" si="217"/>
        <v>-14.234739230018164</v>
      </c>
      <c r="AG435" s="701">
        <f t="shared" si="218"/>
        <v>-4.6789888145606042</v>
      </c>
      <c r="AH435" s="702">
        <f t="shared" si="219"/>
        <v>-67.575497755224362</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5">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1.0176940983006926</v>
      </c>
      <c r="N436" s="694">
        <f t="shared" si="206"/>
        <v>-0.18674622867442048</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-4.3526158277964919</v>
      </c>
      <c r="X436" s="699">
        <f t="shared" si="212"/>
        <v>-142.82538066281194</v>
      </c>
      <c r="Y436" s="702">
        <f t="shared" si="213"/>
        <v>37.174619337188062</v>
      </c>
      <c r="AA436" s="174">
        <f t="shared" si="214"/>
        <v>44414</v>
      </c>
      <c r="AB436" s="174">
        <f t="shared" si="215"/>
        <v>1972603396</v>
      </c>
      <c r="AD436" s="701">
        <f t="shared" si="216"/>
        <v>27.396864035423427</v>
      </c>
      <c r="AE436" s="702">
        <f t="shared" si="217"/>
        <v>-14.294609055958702</v>
      </c>
      <c r="AG436" s="701">
        <f t="shared" si="218"/>
        <v>-4.7184579922331213</v>
      </c>
      <c r="AH436" s="702">
        <f t="shared" si="219"/>
        <v>-67.475152389917838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5">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1.0178952749096988</v>
      </c>
      <c r="N437" s="694">
        <f t="shared" si="206"/>
        <v>-0.18778935146095121</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-4.411402920594977</v>
      </c>
      <c r="X437" s="699">
        <f t="shared" si="212"/>
        <v>-143.10440524833047</v>
      </c>
      <c r="Y437" s="702">
        <f t="shared" si="213"/>
        <v>36.895594751669535</v>
      </c>
      <c r="AA437" s="174">
        <f t="shared" si="214"/>
        <v>44668</v>
      </c>
      <c r="AB437" s="174">
        <f t="shared" si="215"/>
        <v>1995230224</v>
      </c>
      <c r="AD437" s="701">
        <f t="shared" si="216"/>
        <v>27.39445583509842</v>
      </c>
      <c r="AE437" s="702">
        <f t="shared" si="217"/>
        <v>-14.354552721637347</v>
      </c>
      <c r="AG437" s="701">
        <f t="shared" si="218"/>
        <v>-4.7576003916709872</v>
      </c>
      <c r="AH437" s="702">
        <f t="shared" si="219"/>
        <v>-67.37491568053828</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5">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1.0181025500626519</v>
      </c>
      <c r="N438" s="694">
        <f t="shared" si="206"/>
        <v>-0.18885771286128028</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-4.4713828849308648</v>
      </c>
      <c r="X438" s="699">
        <f t="shared" si="212"/>
        <v>-143.39003032825298</v>
      </c>
      <c r="Y438" s="702">
        <f t="shared" si="213"/>
        <v>36.609969671747024</v>
      </c>
      <c r="AA438" s="174">
        <f t="shared" si="214"/>
        <v>44928.25</v>
      </c>
      <c r="AB438" s="174">
        <f t="shared" si="215"/>
        <v>2018547648.0625</v>
      </c>
      <c r="AD438" s="701">
        <f t="shared" si="216"/>
        <v>27.391976508529691</v>
      </c>
      <c r="AE438" s="702">
        <f t="shared" si="217"/>
        <v>-14.41604580526578</v>
      </c>
      <c r="AG438" s="701">
        <f t="shared" si="218"/>
        <v>-4.7973705852268171</v>
      </c>
      <c r="AH438" s="702">
        <f t="shared" si="219"/>
        <v>-67.272327013179265</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5">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1.0183109868000237</v>
      </c>
      <c r="N439" s="694">
        <f t="shared" si="206"/>
        <v>-0.18992563811713878</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-4.5311092630319418</v>
      </c>
      <c r="X439" s="699">
        <f t="shared" si="212"/>
        <v>-143.6753857772006</v>
      </c>
      <c r="Y439" s="702">
        <f t="shared" si="213"/>
        <v>36.324614222799397</v>
      </c>
      <c r="AA439" s="174">
        <f t="shared" si="214"/>
        <v>45188.5</v>
      </c>
      <c r="AB439" s="174">
        <f t="shared" si="215"/>
        <v>2042000532.25</v>
      </c>
      <c r="AD439" s="701">
        <f t="shared" si="216"/>
        <v>27.389485172718096</v>
      </c>
      <c r="AE439" s="702">
        <f t="shared" si="217"/>
        <v>-14.477612060823809</v>
      </c>
      <c r="AG439" s="701">
        <f t="shared" si="218"/>
        <v>-4.8368049447708481</v>
      </c>
      <c r="AH439" s="702">
        <f t="shared" si="219"/>
        <v>-67.169856021678882</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5">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1.0185205844086713</v>
      </c>
      <c r="N440" s="694">
        <f t="shared" si="206"/>
        <v>-0.19099312506118277</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-4.590585179974088</v>
      </c>
      <c r="X440" s="699">
        <f t="shared" si="212"/>
        <v>-143.96047046917317</v>
      </c>
      <c r="Y440" s="702">
        <f t="shared" si="213"/>
        <v>36.039529530826826</v>
      </c>
      <c r="AA440" s="174">
        <f t="shared" si="214"/>
        <v>45448.75</v>
      </c>
      <c r="AB440" s="174">
        <f t="shared" si="215"/>
        <v>2065588876.5625</v>
      </c>
      <c r="AD440" s="701">
        <f t="shared" si="216"/>
        <v>27.386981832650786</v>
      </c>
      <c r="AE440" s="702">
        <f t="shared" si="217"/>
        <v>-14.539249358012109</v>
      </c>
      <c r="AG440" s="701">
        <f t="shared" si="218"/>
        <v>-4.8759070383853951</v>
      </c>
      <c r="AH440" s="702">
        <f t="shared" si="219"/>
        <v>-67.067504462666449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5">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1.0187313421720687</v>
      </c>
      <c r="N441" s="694">
        <f t="shared" si="206"/>
        <v>-0.19206017153184252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-4.6498137035015903</v>
      </c>
      <c r="X441" s="699">
        <f t="shared" si="212"/>
        <v>-144.24528330012836</v>
      </c>
      <c r="Y441" s="702">
        <f t="shared" si="213"/>
        <v>35.754716699871636</v>
      </c>
      <c r="AA441" s="174">
        <f t="shared" si="214"/>
        <v>45709</v>
      </c>
      <c r="AB441" s="174">
        <f t="shared" si="215"/>
        <v>2089312681</v>
      </c>
      <c r="AD441" s="701">
        <f t="shared" si="216"/>
        <v>27.384466493893946</v>
      </c>
      <c r="AE441" s="702">
        <f t="shared" si="217"/>
        <v>-14.600955611440146</v>
      </c>
      <c r="AG441" s="701">
        <f t="shared" si="218"/>
        <v>-4.9146803769181293</v>
      </c>
      <c r="AH441" s="702">
        <f t="shared" si="219"/>
        <v>-66.965274047921312</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5">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1.0189481587370437</v>
      </c>
      <c r="N442" s="694">
        <f t="shared" si="206"/>
        <v>-0.19315136042654188</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-4.7101548518858003</v>
      </c>
      <c r="X442" s="699">
        <f t="shared" si="212"/>
        <v>-144.53637995771658</v>
      </c>
      <c r="Y442" s="702">
        <f t="shared" si="213"/>
        <v>35.463620042283424</v>
      </c>
      <c r="AA442" s="174">
        <f t="shared" si="214"/>
        <v>45975.25</v>
      </c>
      <c r="AB442" s="174">
        <f t="shared" si="215"/>
        <v>2113723612.5625</v>
      </c>
      <c r="AD442" s="701">
        <f t="shared" si="216"/>
        <v>27.381880754193105</v>
      </c>
      <c r="AE442" s="702">
        <f t="shared" si="217"/>
        <v>-14.664153717785476</v>
      </c>
      <c r="AG442" s="701">
        <f t="shared" si="218"/>
        <v>-4.954011016201803</v>
      </c>
      <c r="AH442" s="702">
        <f t="shared" si="219"/>
        <v>-66.860813840980185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5">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1.0191661880396103</v>
      </c>
      <c r="N443" s="694">
        <f t="shared" si="206"/>
        <v>-0.19424208374538579</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-4.7702433857778566</v>
      </c>
      <c r="X443" s="699">
        <f t="shared" si="212"/>
        <v>-144.82718980564098</v>
      </c>
      <c r="Y443" s="702">
        <f t="shared" si="213"/>
        <v>35.172810194359016</v>
      </c>
      <c r="AA443" s="174">
        <f t="shared" si="214"/>
        <v>46241.5</v>
      </c>
      <c r="AB443" s="174">
        <f t="shared" si="215"/>
        <v>2138276322.25</v>
      </c>
      <c r="AD443" s="701">
        <f t="shared" si="216"/>
        <v>27.379282469739174</v>
      </c>
      <c r="AE443" s="702">
        <f t="shared" si="217"/>
        <v>-14.727419719522963</v>
      </c>
      <c r="AG443" s="701">
        <f t="shared" si="218"/>
        <v>-4.993004822887988</v>
      </c>
      <c r="AH443" s="702">
        <f t="shared" si="219"/>
        <v>-66.756483913788088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5">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1.0193854293016167</v>
      </c>
      <c r="N444" s="694">
        <f t="shared" si="206"/>
        <v>-0.19533233919272919</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-4.830082412253609</v>
      </c>
      <c r="X444" s="699">
        <f t="shared" si="212"/>
        <v>-145.11771173093129</v>
      </c>
      <c r="Y444" s="702">
        <f t="shared" si="213"/>
        <v>34.882288269068709</v>
      </c>
      <c r="AA444" s="174">
        <f t="shared" si="214"/>
        <v>46507.75</v>
      </c>
      <c r="AB444" s="174">
        <f t="shared" si="215"/>
        <v>2162970810.0625</v>
      </c>
      <c r="AD444" s="701">
        <f t="shared" si="216"/>
        <v>27.376671648263098</v>
      </c>
      <c r="AE444" s="702">
        <f t="shared" si="217"/>
        <v>-14.79075152160466</v>
      </c>
      <c r="AG444" s="701">
        <f t="shared" si="218"/>
        <v>-5.0316653785444663</v>
      </c>
      <c r="AH444" s="702">
        <f t="shared" si="219"/>
        <v>-66.65228596011184</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5">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1.0196058817412557</v>
      </c>
      <c r="N445" s="694">
        <f t="shared" si="206"/>
        <v>-0.19642212447934504</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-4.8896749812017095</v>
      </c>
      <c r="X445" s="699">
        <f t="shared" si="212"/>
        <v>-145.40794464325558</v>
      </c>
      <c r="Y445" s="702">
        <f t="shared" si="213"/>
        <v>34.592055356744424</v>
      </c>
      <c r="AA445" s="174">
        <f t="shared" si="214"/>
        <v>46774</v>
      </c>
      <c r="AB445" s="174">
        <f t="shared" si="215"/>
        <v>2187807076</v>
      </c>
      <c r="AD445" s="701">
        <f t="shared" si="216"/>
        <v>27.374048298057716</v>
      </c>
      <c r="AE445" s="702">
        <f t="shared" si="217"/>
        <v>-14.854147072927974</v>
      </c>
      <c r="AG445" s="701">
        <f t="shared" si="218"/>
        <v>-5.0699962074688543</v>
      </c>
      <c r="AH445" s="702">
        <f t="shared" si="219"/>
        <v>-66.54822162891422</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5">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1.0198325537312651</v>
      </c>
      <c r="N446" s="694">
        <f t="shared" si="206"/>
        <v>-0.19753597975654025</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-4.9503587491391015</v>
      </c>
      <c r="X446" s="699">
        <f t="shared" si="212"/>
        <v>-145.70441804720292</v>
      </c>
      <c r="Y446" s="702">
        <f t="shared" si="213"/>
        <v>34.295581952797079</v>
      </c>
      <c r="AA446" s="174">
        <f t="shared" si="214"/>
        <v>47046.25</v>
      </c>
      <c r="AB446" s="174">
        <f t="shared" si="215"/>
        <v>2213349639.0625</v>
      </c>
      <c r="AD446" s="701">
        <f t="shared" si="216"/>
        <v>27.371352883895192</v>
      </c>
      <c r="AE446" s="702">
        <f t="shared" si="217"/>
        <v>-14.919035084598075</v>
      </c>
      <c r="AG446" s="701">
        <f t="shared" si="218"/>
        <v>-5.1088534866137101</v>
      </c>
      <c r="AH446" s="702">
        <f t="shared" si="219"/>
        <v>-66.441952031303444</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5">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1.0200604904373369</v>
      </c>
      <c r="N447" s="694">
        <f t="shared" si="206"/>
        <v>-0.19864933862346451</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-5.0107910987478022</v>
      </c>
      <c r="X447" s="699">
        <f t="shared" si="212"/>
        <v>-146.00058703074029</v>
      </c>
      <c r="Y447" s="702">
        <f t="shared" si="213"/>
        <v>33.999412969259708</v>
      </c>
      <c r="AA447" s="174">
        <f t="shared" si="214"/>
        <v>47318.5</v>
      </c>
      <c r="AB447" s="174">
        <f t="shared" si="215"/>
        <v>2239040442.25</v>
      </c>
      <c r="AD447" s="701">
        <f t="shared" si="216"/>
        <v>27.368644389230042</v>
      </c>
      <c r="AE447" s="702">
        <f t="shared" si="217"/>
        <v>-14.983985549017731</v>
      </c>
      <c r="AG447" s="701">
        <f t="shared" si="218"/>
        <v>-5.1473732857428978</v>
      </c>
      <c r="AH447" s="702">
        <f t="shared" si="219"/>
        <v>-66.335825494483259</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5">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1.0202896910118435</v>
      </c>
      <c r="N448" s="694">
        <f t="shared" si="206"/>
        <v>-0.19976219865357864</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-5.0709751137884016</v>
      </c>
      <c r="X448" s="699">
        <f t="shared" si="212"/>
        <v>-146.29645049942241</v>
      </c>
      <c r="Y448" s="702">
        <f t="shared" si="213"/>
        <v>33.703549500577594</v>
      </c>
      <c r="AA448" s="174">
        <f t="shared" si="214"/>
        <v>47590.75</v>
      </c>
      <c r="AB448" s="174">
        <f t="shared" si="215"/>
        <v>2264879485.5625</v>
      </c>
      <c r="AD448" s="701">
        <f t="shared" si="216"/>
        <v>27.365922824644997</v>
      </c>
      <c r="AE448" s="702">
        <f t="shared" si="217"/>
        <v>-15.048996408019164</v>
      </c>
      <c r="AG448" s="701">
        <f t="shared" si="218"/>
        <v>-5.1855591952659363</v>
      </c>
      <c r="AH448" s="702">
        <f t="shared" si="219"/>
        <v>-66.229843642579482</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5">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1.0205201546032208</v>
      </c>
      <c r="N449" s="694">
        <f t="shared" si="206"/>
        <v>-0.2008745574274596</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-5.1309138211030012</v>
      </c>
      <c r="X449" s="699">
        <f t="shared" si="212"/>
        <v>-146.59200738212613</v>
      </c>
      <c r="Y449" s="702">
        <f t="shared" si="213"/>
        <v>33.407992617873873</v>
      </c>
      <c r="AA449" s="174">
        <f t="shared" si="214"/>
        <v>47863</v>
      </c>
      <c r="AB449" s="174">
        <f t="shared" si="215"/>
        <v>2290866769</v>
      </c>
      <c r="AD449" s="701">
        <f t="shared" si="216"/>
        <v>27.363188201267672</v>
      </c>
      <c r="AE449" s="702">
        <f t="shared" si="217"/>
        <v>-15.114065646363359</v>
      </c>
      <c r="AG449" s="701">
        <f t="shared" si="218"/>
        <v>-5.2234147483896551</v>
      </c>
      <c r="AH449" s="702">
        <f t="shared" si="219"/>
        <v>-66.124008055000132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5">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1.0207574282547041</v>
      </c>
      <c r="N450" s="694">
        <f t="shared" si="206"/>
        <v>-0.20201295202512046</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-5.1920325118241166</v>
      </c>
      <c r="X450" s="699">
        <f t="shared" si="212"/>
        <v>-146.8943019718343</v>
      </c>
      <c r="Y450" s="702">
        <f t="shared" si="213"/>
        <v>33.105698028165705</v>
      </c>
      <c r="AA450" s="174">
        <f t="shared" si="214"/>
        <v>48141.75</v>
      </c>
      <c r="AB450" s="174">
        <f t="shared" si="215"/>
        <v>2317628093.0625</v>
      </c>
      <c r="AD450" s="701">
        <f t="shared" si="216"/>
        <v>27.360374770435605</v>
      </c>
      <c r="AE450" s="702">
        <f t="shared" si="217"/>
        <v>-15.180746846191202</v>
      </c>
      <c r="AG450" s="701">
        <f t="shared" si="218"/>
        <v>-5.2618354568165779</v>
      </c>
      <c r="AH450" s="702">
        <f t="shared" si="219"/>
        <v>-66.01579877826137</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5">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1.020996024133034</v>
      </c>
      <c r="N451" s="694">
        <f t="shared" si="206"/>
        <v>-0.20315081603546956</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-5.2529002862658478</v>
      </c>
      <c r="X451" s="699">
        <f t="shared" si="212"/>
        <v>-147.19627296214995</v>
      </c>
      <c r="Y451" s="702">
        <f t="shared" si="213"/>
        <v>32.803727037850052</v>
      </c>
      <c r="AA451" s="174">
        <f t="shared" si="214"/>
        <v>48420.5</v>
      </c>
      <c r="AB451" s="174">
        <f t="shared" si="215"/>
        <v>2344544820.25</v>
      </c>
      <c r="AD451" s="701">
        <f t="shared" si="216"/>
        <v>27.35754767509842</v>
      </c>
      <c r="AE451" s="702">
        <f t="shared" si="217"/>
        <v>-15.247485103414274</v>
      </c>
      <c r="AG451" s="701">
        <f t="shared" si="218"/>
        <v>-5.299917163944535</v>
      </c>
      <c r="AH451" s="702">
        <f t="shared" si="219"/>
        <v>-65.907746044982915</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5">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1.0212359413114573</v>
      </c>
      <c r="N452" s="694">
        <f t="shared" si="206"/>
        <v>-0.20428814688497052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-5.3135202163259496</v>
      </c>
      <c r="X452" s="699">
        <f t="shared" si="212"/>
        <v>-147.49791927719272</v>
      </c>
      <c r="Y452" s="702">
        <f t="shared" si="213"/>
        <v>32.502080722807278</v>
      </c>
      <c r="AA452" s="174">
        <f t="shared" si="214"/>
        <v>48699.25</v>
      </c>
      <c r="AB452" s="174">
        <f t="shared" si="215"/>
        <v>2371616950.5625</v>
      </c>
      <c r="AD452" s="701">
        <f t="shared" si="216"/>
        <v>27.354706928873213</v>
      </c>
      <c r="AE452" s="702">
        <f t="shared" si="217"/>
        <v>-15.314278387236008</v>
      </c>
      <c r="AG452" s="701">
        <f t="shared" si="218"/>
        <v>-5.3376634839510206</v>
      </c>
      <c r="AH452" s="702">
        <f t="shared" si="219"/>
        <v>-65.799851411128003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5">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1.0214771788589616</v>
      </c>
      <c r="N453" s="694">
        <f t="shared" si="206"/>
        <v>-0.20542494200801548</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-5.3738953169659487</v>
      </c>
      <c r="X453" s="699">
        <f t="shared" si="212"/>
        <v>-147.79923986526416</v>
      </c>
      <c r="Y453" s="702">
        <f t="shared" si="213"/>
        <v>32.200760134735845</v>
      </c>
      <c r="AA453" s="174">
        <f t="shared" si="214"/>
        <v>48978</v>
      </c>
      <c r="AB453" s="174">
        <f t="shared" si="215"/>
        <v>2398844484</v>
      </c>
      <c r="AD453" s="701">
        <f t="shared" si="216"/>
        <v>27.351852545908951</v>
      </c>
      <c r="AE453" s="702">
        <f t="shared" si="217"/>
        <v>-15.381124709028517</v>
      </c>
      <c r="AG453" s="701">
        <f t="shared" si="218"/>
        <v>-5.3750779735658227</v>
      </c>
      <c r="AH453" s="702">
        <f t="shared" si="219"/>
        <v>-65.692116387745585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5">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1.0217254076122269</v>
      </c>
      <c r="N454" s="694">
        <f t="shared" si="206"/>
        <v>-0.2065876880792836</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-5.4354278951074866</v>
      </c>
      <c r="X454" s="699">
        <f t="shared" si="212"/>
        <v>-148.10724848212172</v>
      </c>
      <c r="Y454" s="702">
        <f t="shared" si="213"/>
        <v>31.892751517878281</v>
      </c>
      <c r="AA454" s="174">
        <f t="shared" si="214"/>
        <v>49263.25</v>
      </c>
      <c r="AB454" s="174">
        <f t="shared" si="215"/>
        <v>2426867800.5625</v>
      </c>
      <c r="AD454" s="701">
        <f t="shared" si="216"/>
        <v>27.348917501218722</v>
      </c>
      <c r="AE454" s="702">
        <f t="shared" si="217"/>
        <v>-15.449582654960324</v>
      </c>
      <c r="AG454" s="701">
        <f t="shared" si="218"/>
        <v>-5.4130250332289513</v>
      </c>
      <c r="AH454" s="702">
        <f t="shared" si="219"/>
        <v>-65.582035924578662</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5">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1.0219750170440756</v>
      </c>
      <c r="N455" s="694">
        <f t="shared" si="206"/>
        <v>-0.20774986773782642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-5.4967103037492713</v>
      </c>
      <c r="X455" s="699">
        <f t="shared" si="212"/>
        <v>-148.41491385179324</v>
      </c>
      <c r="Y455" s="702">
        <f t="shared" si="213"/>
        <v>31.585086148206756</v>
      </c>
      <c r="AA455" s="174">
        <f t="shared" si="214"/>
        <v>49548.5</v>
      </c>
      <c r="AB455" s="174">
        <f t="shared" si="215"/>
        <v>2455053852.25</v>
      </c>
      <c r="AD455" s="701">
        <f t="shared" si="216"/>
        <v>27.345968208019464</v>
      </c>
      <c r="AE455" s="702">
        <f t="shared" si="217"/>
        <v>-15.518092058030906</v>
      </c>
      <c r="AG455" s="701">
        <f t="shared" si="218"/>
        <v>-5.4506319637124268</v>
      </c>
      <c r="AH455" s="702">
        <f t="shared" si="219"/>
        <v>-65.472125664164707</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5">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1.0222260061430963</v>
      </c>
      <c r="N456" s="694">
        <f t="shared" si="206"/>
        <v>-0.20891147826029965</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-5.5577455970674805</v>
      </c>
      <c r="X456" s="699">
        <f t="shared" si="212"/>
        <v>-148.72223492369153</v>
      </c>
      <c r="Y456" s="702">
        <f t="shared" si="213"/>
        <v>31.277765076308469</v>
      </c>
      <c r="AA456" s="174">
        <f t="shared" si="214"/>
        <v>49833.75</v>
      </c>
      <c r="AB456" s="174">
        <f t="shared" si="215"/>
        <v>2483402639.0625</v>
      </c>
      <c r="AD456" s="701">
        <f t="shared" si="216"/>
        <v>27.34300468310424</v>
      </c>
      <c r="AE456" s="702">
        <f t="shared" si="217"/>
        <v>-15.586650916915618</v>
      </c>
      <c r="AG456" s="701">
        <f t="shared" si="218"/>
        <v>-5.4879023977785053</v>
      </c>
      <c r="AH456" s="702">
        <f t="shared" si="219"/>
        <v>-65.362387086043881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5">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1.022478373893283</v>
      </c>
      <c r="N457" s="694">
        <f t="shared" si="206"/>
        <v>-0.21007251693216919</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-5.6185367724238731</v>
      </c>
      <c r="X457" s="699">
        <f t="shared" si="212"/>
        <v>-149.02921067226794</v>
      </c>
      <c r="Y457" s="702">
        <f t="shared" si="213"/>
        <v>30.970789327732064</v>
      </c>
      <c r="AA457" s="174">
        <f t="shared" si="214"/>
        <v>50119</v>
      </c>
      <c r="AB457" s="174">
        <f t="shared" si="215"/>
        <v>2511914161</v>
      </c>
      <c r="AD457" s="701">
        <f t="shared" si="216"/>
        <v>27.340026943784757</v>
      </c>
      <c r="AE457" s="702">
        <f t="shared" si="217"/>
        <v>-15.655257271634081</v>
      </c>
      <c r="AG457" s="701">
        <f t="shared" si="218"/>
        <v>-5.5248399106094137</v>
      </c>
      <c r="AH457" s="702">
        <f t="shared" si="219"/>
        <v>-65.252821624702477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5">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1.0227379174230593</v>
      </c>
      <c r="N458" s="694">
        <f t="shared" si="206"/>
        <v>-0.21125941786051317</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-5.6804637386064547</v>
      </c>
      <c r="X458" s="699">
        <f t="shared" si="212"/>
        <v>-149.34282322673744</v>
      </c>
      <c r="Y458" s="702">
        <f t="shared" si="213"/>
        <v>30.657176773262563</v>
      </c>
      <c r="AA458" s="174">
        <f t="shared" si="214"/>
        <v>50410.75</v>
      </c>
      <c r="AB458" s="174">
        <f t="shared" si="215"/>
        <v>2541243715.5625</v>
      </c>
      <c r="AD458" s="701">
        <f t="shared" si="216"/>
        <v>27.336966665254451</v>
      </c>
      <c r="AE458" s="702">
        <f t="shared" si="217"/>
        <v>-15.725474092200237</v>
      </c>
      <c r="AG458" s="701">
        <f t="shared" si="218"/>
        <v>-5.5622783999024232</v>
      </c>
      <c r="AH458" s="702">
        <f t="shared" si="219"/>
        <v>-65.140940019946839</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5">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1.0229989009860698</v>
      </c>
      <c r="N459" s="694">
        <f t="shared" si="206"/>
        <v>-0.21244571486408367</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-5.7421415008315977</v>
      </c>
      <c r="X459" s="699">
        <f t="shared" si="212"/>
        <v>-149.65607244937232</v>
      </c>
      <c r="Y459" s="702">
        <f t="shared" si="213"/>
        <v>30.343927550627683</v>
      </c>
      <c r="AA459" s="174">
        <f t="shared" si="214"/>
        <v>50702.5</v>
      </c>
      <c r="AB459" s="174">
        <f t="shared" si="215"/>
        <v>2570743506.25</v>
      </c>
      <c r="AD459" s="701">
        <f t="shared" si="216"/>
        <v>27.333891555360267</v>
      </c>
      <c r="AE459" s="702">
        <f t="shared" si="217"/>
        <v>-15.795736578024135</v>
      </c>
      <c r="AG459" s="701">
        <f t="shared" si="218"/>
        <v>-5.59937600874939</v>
      </c>
      <c r="AH459" s="702">
        <f t="shared" si="219"/>
        <v>-65.029242406835195</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5">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1.0232613234804702</v>
      </c>
      <c r="N460" s="694">
        <f t="shared" si="206"/>
        <v>-0.2136314050673048</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-5.8035730901349183</v>
      </c>
      <c r="X460" s="699">
        <f t="shared" si="212"/>
        <v>-149.96895732191126</v>
      </c>
      <c r="Y460" s="702">
        <f t="shared" si="213"/>
        <v>30.031042678088738</v>
      </c>
      <c r="AA460" s="174">
        <f t="shared" si="214"/>
        <v>50994.25</v>
      </c>
      <c r="AB460" s="174">
        <f t="shared" si="215"/>
        <v>2600413533.0625</v>
      </c>
      <c r="AD460" s="701">
        <f t="shared" si="216"/>
        <v>27.330801634213039</v>
      </c>
      <c r="AE460" s="702">
        <f t="shared" si="217"/>
        <v>-15.86604275900671</v>
      </c>
      <c r="AG460" s="701">
        <f t="shared" si="218"/>
        <v>-5.636136383612472</v>
      </c>
      <c r="AH460" s="702">
        <f t="shared" si="219"/>
        <v>-64.917730180229924</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5">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1.0235251837994734</v>
      </c>
      <c r="N461" s="694">
        <f t="shared" ref="N461:N524" si="238">-ATAN(G461/z_RHP)</f>
        <v>-0.2148164856043662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-5.8647614809908841</v>
      </c>
      <c r="X461" s="699">
        <f t="shared" ref="X461:X524" si="244">((L461+R461+N461+V461)-(J461+P461+T461))*radconv</f>
        <v>-150.28147685198235</v>
      </c>
      <c r="Y461" s="702">
        <f t="shared" ref="Y461:Y524" si="245">IF(X461&gt;0,X461,X461+180)</f>
        <v>29.718523148017653</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-5.6725631133455323</v>
      </c>
      <c r="AH461" s="702">
        <f t="shared" ref="AH461:AH524" si="251">(L461+N461-(J461+V461))*radconv</f>
        <v>-64.806404689855214</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5">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1.0237968637814017</v>
      </c>
      <c r="N462" s="694">
        <f t="shared" si="238"/>
        <v>-0.2160293651837836</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-5.9271690016687071</v>
      </c>
      <c r="X462" s="699">
        <f t="shared" si="244"/>
        <v>-150.60111510242371</v>
      </c>
      <c r="Y462" s="702">
        <f t="shared" si="245"/>
        <v>29.398884897576295</v>
      </c>
      <c r="AA462" s="174">
        <f t="shared" si="246"/>
        <v>51584.75</v>
      </c>
      <c r="AB462" s="174">
        <f t="shared" si="247"/>
        <v>2660986432.5625</v>
      </c>
      <c r="AD462" s="701">
        <f t="shared" si="248"/>
        <v>27.324502413690837</v>
      </c>
      <c r="AE462" s="702">
        <f t="shared" si="249"/>
        <v>-16.008467826901985</v>
      </c>
      <c r="AG462" s="701">
        <f t="shared" si="250"/>
        <v>-5.7095217755185201</v>
      </c>
      <c r="AH462" s="702">
        <f t="shared" si="251"/>
        <v>-64.69260302490656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5">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1.0240700490468171</v>
      </c>
      <c r="N463" s="694">
        <f t="shared" si="238"/>
        <v>-0.21724159943990851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-5.9893276503005008</v>
      </c>
      <c r="X463" s="699">
        <f t="shared" si="244"/>
        <v>-150.92036824419159</v>
      </c>
      <c r="Y463" s="702">
        <f t="shared" si="245"/>
        <v>29.079631755808407</v>
      </c>
      <c r="AA463" s="174">
        <f t="shared" si="246"/>
        <v>51883.5</v>
      </c>
      <c r="AB463" s="174">
        <f t="shared" si="247"/>
        <v>2691897572.25</v>
      </c>
      <c r="AD463" s="701">
        <f t="shared" si="248"/>
        <v>27.321292441368822</v>
      </c>
      <c r="AE463" s="702">
        <f t="shared" si="249"/>
        <v>-16.080584772097225</v>
      </c>
      <c r="AG463" s="701">
        <f t="shared" si="250"/>
        <v>-5.7461380270015816</v>
      </c>
      <c r="AH463" s="702">
        <f t="shared" si="251"/>
        <v>-64.578999888112705</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5">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1.0243447383913753</v>
      </c>
      <c r="N464" s="694">
        <f t="shared" si="238"/>
        <v>-0.21845318532769561</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-6.0512404447908033</v>
      </c>
      <c r="X464" s="699">
        <f t="shared" si="244"/>
        <v>-151.23923529380582</v>
      </c>
      <c r="Y464" s="702">
        <f t="shared" si="245"/>
        <v>28.76076470619418</v>
      </c>
      <c r="AA464" s="174">
        <f t="shared" si="246"/>
        <v>52182.25</v>
      </c>
      <c r="AB464" s="174">
        <f t="shared" si="247"/>
        <v>2722987215.0625</v>
      </c>
      <c r="AD464" s="701">
        <f t="shared" si="248"/>
        <v>27.318067029153642</v>
      </c>
      <c r="AE464" s="702">
        <f t="shared" si="249"/>
        <v>-16.152739594009141</v>
      </c>
      <c r="AG464" s="701">
        <f t="shared" si="250"/>
        <v>-5.7824155416330472</v>
      </c>
      <c r="AH464" s="702">
        <f t="shared" si="251"/>
        <v>-64.465596587864255</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5">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1.0246209306053959</v>
      </c>
      <c r="N465" s="694">
        <f t="shared" si="238"/>
        <v>-0.21966411981297024</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-6.1129103464865224</v>
      </c>
      <c r="X465" s="699">
        <f t="shared" si="244"/>
        <v>-151.55771529469391</v>
      </c>
      <c r="Y465" s="702">
        <f t="shared" si="245"/>
        <v>28.442284705306093</v>
      </c>
      <c r="AA465" s="174">
        <f t="shared" si="246"/>
        <v>52481</v>
      </c>
      <c r="AB465" s="174">
        <f t="shared" si="247"/>
        <v>2754255361</v>
      </c>
      <c r="AD465" s="701">
        <f t="shared" si="248"/>
        <v>27.314826201231234</v>
      </c>
      <c r="AE465" s="702">
        <f t="shared" si="249"/>
        <v>-16.224930385357023</v>
      </c>
      <c r="AG465" s="701">
        <f t="shared" si="250"/>
        <v>-5.8183579353271506</v>
      </c>
      <c r="AH465" s="702">
        <f t="shared" si="251"/>
        <v>-64.352394387083081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5">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1.0249049160667547</v>
      </c>
      <c r="N466" s="694">
        <f t="shared" si="238"/>
        <v>-0.22090173752868092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-6.1757254676540088</v>
      </c>
      <c r="X466" s="699">
        <f t="shared" si="244"/>
        <v>-151.88298984407453</v>
      </c>
      <c r="Y466" s="702">
        <f t="shared" si="245"/>
        <v>28.11701015592547</v>
      </c>
      <c r="AA466" s="174">
        <f t="shared" si="246"/>
        <v>52786.5</v>
      </c>
      <c r="AB466" s="174">
        <f t="shared" si="247"/>
        <v>2786414582.25</v>
      </c>
      <c r="AD466" s="701">
        <f t="shared" si="248"/>
        <v>27.311496233186908</v>
      </c>
      <c r="AE466" s="702">
        <f t="shared" si="249"/>
        <v>-16.298787516690421</v>
      </c>
      <c r="AG466" s="701">
        <f t="shared" si="250"/>
        <v>-5.8547695606408148</v>
      </c>
      <c r="AH466" s="702">
        <f t="shared" si="251"/>
        <v>-64.236843715242998</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5">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1.0251904705014045</v>
      </c>
      <c r="N467" s="694">
        <f t="shared" si="238"/>
        <v>-0.22213866769115639</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-6.2382926840906769</v>
      </c>
      <c r="X467" s="699">
        <f t="shared" si="244"/>
        <v>-152.20785771842128</v>
      </c>
      <c r="Y467" s="702">
        <f t="shared" si="245"/>
        <v>27.79214228157872</v>
      </c>
      <c r="AA467" s="174">
        <f t="shared" si="246"/>
        <v>53092</v>
      </c>
      <c r="AB467" s="174">
        <f t="shared" si="247"/>
        <v>2818760464</v>
      </c>
      <c r="AD467" s="701">
        <f t="shared" si="248"/>
        <v>27.308150197635385</v>
      </c>
      <c r="AE467" s="702">
        <f t="shared" si="249"/>
        <v>-16.37267835006412</v>
      </c>
      <c r="AG467" s="701">
        <f t="shared" si="250"/>
        <v>-5.8908382182011572</v>
      </c>
      <c r="AH467" s="702">
        <f t="shared" si="251"/>
        <v>-64.121505862630741</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5">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1.0254775925986566</v>
      </c>
      <c r="N468" s="694">
        <f t="shared" si="238"/>
        <v>-0.22337490709135516</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-6.3006149874713122</v>
      </c>
      <c r="X468" s="699">
        <f t="shared" si="244"/>
        <v>-152.53231797973035</v>
      </c>
      <c r="Y468" s="702">
        <f t="shared" si="245"/>
        <v>27.467682020269649</v>
      </c>
      <c r="AA468" s="174">
        <f t="shared" si="246"/>
        <v>53397.5</v>
      </c>
      <c r="AB468" s="174">
        <f t="shared" si="247"/>
        <v>2851293006.25</v>
      </c>
      <c r="AD468" s="701">
        <f t="shared" si="248"/>
        <v>27.304788121956456</v>
      </c>
      <c r="AE468" s="702">
        <f t="shared" si="249"/>
        <v>-16.446600968184352</v>
      </c>
      <c r="AG468" s="701">
        <f t="shared" si="250"/>
        <v>-5.9265675948651788</v>
      </c>
      <c r="AH468" s="702">
        <f t="shared" si="251"/>
        <v>-64.006382038487715</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5">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1.0257662810420987</v>
      </c>
      <c r="N469" s="694">
        <f t="shared" si="238"/>
        <v>-0.22461045253226422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-6.3626953132430835</v>
      </c>
      <c r="X469" s="699">
        <f t="shared" si="244"/>
        <v>-152.85636971781895</v>
      </c>
      <c r="Y469" s="702">
        <f t="shared" si="245"/>
        <v>27.14363028218105</v>
      </c>
      <c r="AA469" s="174">
        <f t="shared" si="246"/>
        <v>53703</v>
      </c>
      <c r="AB469" s="174">
        <f t="shared" si="247"/>
        <v>2884012209</v>
      </c>
      <c r="AD469" s="701">
        <f t="shared" si="248"/>
        <v>27.301410034012903</v>
      </c>
      <c r="AE469" s="702">
        <f t="shared" si="249"/>
        <v>-16.520553492729153</v>
      </c>
      <c r="AG469" s="701">
        <f t="shared" si="250"/>
        <v>-5.9619613195492294</v>
      </c>
      <c r="AH469" s="702">
        <f t="shared" si="251"/>
        <v>-63.891473406476095</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5">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1.026063441685287</v>
      </c>
      <c r="N470" s="694">
        <f t="shared" si="238"/>
        <v>-0.22587459724490611</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-6.4260012513466434</v>
      </c>
      <c r="X470" s="699">
        <f t="shared" si="244"/>
        <v>-153.18768761600529</v>
      </c>
      <c r="Y470" s="702">
        <f t="shared" si="245"/>
        <v>26.812312383994708</v>
      </c>
      <c r="AA470" s="174">
        <f t="shared" si="246"/>
        <v>54015.75</v>
      </c>
      <c r="AB470" s="174">
        <f t="shared" si="247"/>
        <v>2917701248.0625</v>
      </c>
      <c r="AD470" s="701">
        <f t="shared" si="248"/>
        <v>27.297935221495123</v>
      </c>
      <c r="AE470" s="702">
        <f t="shared" si="249"/>
        <v>-16.596290086231051</v>
      </c>
      <c r="AG470" s="701">
        <f t="shared" si="250"/>
        <v>-5.9978510280217012</v>
      </c>
      <c r="AH470" s="702">
        <f t="shared" si="251"/>
        <v>-63.774061891312606</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5">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1.0263622410903082</v>
      </c>
      <c r="N471" s="694">
        <f t="shared" si="238"/>
        <v>-0.22713800792806529</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-6.4890596415236885</v>
      </c>
      <c r="X471" s="699">
        <f t="shared" si="244"/>
        <v>-153.51857552833204</v>
      </c>
      <c r="Y471" s="702">
        <f t="shared" si="245"/>
        <v>26.481424471667964</v>
      </c>
      <c r="AA471" s="174">
        <f t="shared" si="246"/>
        <v>54328.5</v>
      </c>
      <c r="AB471" s="174">
        <f t="shared" si="247"/>
        <v>2951585912.25</v>
      </c>
      <c r="AD471" s="701">
        <f t="shared" si="248"/>
        <v>27.294443688289924</v>
      </c>
      <c r="AE471" s="702">
        <f t="shared" si="249"/>
        <v>-16.672054159282268</v>
      </c>
      <c r="AG471" s="701">
        <f t="shared" si="250"/>
        <v>-6.0333964804293263</v>
      </c>
      <c r="AH471" s="702">
        <f t="shared" si="251"/>
        <v>-63.656878229041723</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5">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1.0266626778263286</v>
      </c>
      <c r="N472" s="694">
        <f t="shared" si="238"/>
        <v>-0.22840068119107559</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-6.5518734586101068</v>
      </c>
      <c r="X472" s="699">
        <f t="shared" si="244"/>
        <v>-153.84903256637625</v>
      </c>
      <c r="Y472" s="702">
        <f t="shared" si="245"/>
        <v>26.150967433623748</v>
      </c>
      <c r="AA472" s="174">
        <f t="shared" si="246"/>
        <v>54641.25</v>
      </c>
      <c r="AB472" s="174">
        <f t="shared" si="247"/>
        <v>2985666201.5625</v>
      </c>
      <c r="AD472" s="701">
        <f t="shared" si="248"/>
        <v>27.290935465777725</v>
      </c>
      <c r="AE472" s="702">
        <f t="shared" si="249"/>
        <v>-16.747843816762856</v>
      </c>
      <c r="AG472" s="701">
        <f t="shared" si="250"/>
        <v>-6.0686013897134474</v>
      </c>
      <c r="AH472" s="702">
        <f t="shared" si="251"/>
        <v>-63.539923525992322</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5">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1.0269647504563535</v>
      </c>
      <c r="N473" s="694">
        <f t="shared" si="238"/>
        <v>-0.22966261365663315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-6.6144456213123881</v>
      </c>
      <c r="X473" s="699">
        <f t="shared" si="244"/>
        <v>-154.1790578706098</v>
      </c>
      <c r="Y473" s="702">
        <f t="shared" si="245"/>
        <v>25.820942129390204</v>
      </c>
      <c r="AA473" s="174">
        <f t="shared" si="246"/>
        <v>54954</v>
      </c>
      <c r="AB473" s="174">
        <f t="shared" si="247"/>
        <v>3019942116</v>
      </c>
      <c r="AD473" s="701">
        <f t="shared" si="248"/>
        <v>27.287410585812637</v>
      </c>
      <c r="AE473" s="702">
        <f t="shared" si="249"/>
        <v>-16.823657201891535</v>
      </c>
      <c r="AG473" s="701">
        <f t="shared" si="250"/>
        <v>-6.1034694105811926</v>
      </c>
      <c r="AH473" s="702">
        <f t="shared" si="251"/>
        <v>-63.42319884257973</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5">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1.027275517281294</v>
      </c>
      <c r="N474" s="694">
        <f t="shared" si="238"/>
        <v>-0.23095302928840397</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-6.6782211624494838</v>
      </c>
      <c r="X474" s="699">
        <f t="shared" si="244"/>
        <v>-154.51628591275679</v>
      </c>
      <c r="Y474" s="702">
        <f t="shared" si="245"/>
        <v>25.483714087243214</v>
      </c>
      <c r="AA474" s="174">
        <f t="shared" si="246"/>
        <v>55274</v>
      </c>
      <c r="AB474" s="174">
        <f t="shared" si="247"/>
        <v>3055215076</v>
      </c>
      <c r="AD474" s="701">
        <f t="shared" si="248"/>
        <v>27.283786786565422</v>
      </c>
      <c r="AE474" s="702">
        <f t="shared" si="249"/>
        <v>-16.90125071310289</v>
      </c>
      <c r="AG474" s="701">
        <f t="shared" si="250"/>
        <v>-6.138800781868837</v>
      </c>
      <c r="AH474" s="702">
        <f t="shared" si="251"/>
        <v>-63.304007449834373</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5">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1.0275879936608716</v>
      </c>
      <c r="N475" s="694">
        <f t="shared" si="238"/>
        <v>-0.23224266226873813</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-6.7417497232907317</v>
      </c>
      <c r="X475" s="699">
        <f t="shared" si="244"/>
        <v>-154.85306024302156</v>
      </c>
      <c r="Y475" s="702">
        <f t="shared" si="245"/>
        <v>25.146939756978441</v>
      </c>
      <c r="AA475" s="174">
        <f t="shared" si="246"/>
        <v>55594</v>
      </c>
      <c r="AB475" s="174">
        <f t="shared" si="247"/>
        <v>3090692836</v>
      </c>
      <c r="AD475" s="701">
        <f t="shared" si="248"/>
        <v>27.280145617557572</v>
      </c>
      <c r="AE475" s="702">
        <f t="shared" si="249"/>
        <v>-16.978865250486319</v>
      </c>
      <c r="AG475" s="701">
        <f t="shared" si="250"/>
        <v>-6.1737870242516024</v>
      </c>
      <c r="AH475" s="702">
        <f t="shared" si="251"/>
        <v>-63.185058967741632</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5">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1.0279021780360016</v>
      </c>
      <c r="N476" s="694">
        <f t="shared" si="238"/>
        <v>-0.23353150902364966</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-6.8050342563323039</v>
      </c>
      <c r="X476" s="699">
        <f t="shared" si="244"/>
        <v>-155.18938003203331</v>
      </c>
      <c r="Y476" s="702">
        <f t="shared" si="245"/>
        <v>24.810619967966687</v>
      </c>
      <c r="AA476" s="174">
        <f t="shared" si="246"/>
        <v>55914</v>
      </c>
      <c r="AB476" s="174">
        <f t="shared" si="247"/>
        <v>3126375396</v>
      </c>
      <c r="AD476" s="701">
        <f t="shared" si="248"/>
        <v>27.276487114365793</v>
      </c>
      <c r="AE476" s="702">
        <f t="shared" si="249"/>
        <v>-17.056498943098827</v>
      </c>
      <c r="AG476" s="701">
        <f t="shared" si="250"/>
        <v>-6.2084318714231017</v>
      </c>
      <c r="AH476" s="702">
        <f t="shared" si="251"/>
        <v>-63.066354389233247</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5">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1.0282180688409888</v>
      </c>
      <c r="N477" s="694">
        <f t="shared" si="238"/>
        <v>-0.23481956599395704</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-6.8680776581812939</v>
      </c>
      <c r="X477" s="699">
        <f t="shared" si="244"/>
        <v>-155.52524448035985</v>
      </c>
      <c r="Y477" s="702">
        <f t="shared" si="245"/>
        <v>24.474755519640155</v>
      </c>
      <c r="AA477" s="174">
        <f t="shared" si="246"/>
        <v>56234</v>
      </c>
      <c r="AB477" s="174">
        <f t="shared" si="247"/>
        <v>3162262756</v>
      </c>
      <c r="AD477" s="701">
        <f t="shared" si="248"/>
        <v>27.272811313030608</v>
      </c>
      <c r="AE477" s="702">
        <f t="shared" si="249"/>
        <v>-17.134149957652266</v>
      </c>
      <c r="AG477" s="701">
        <f t="shared" si="250"/>
        <v>-6.2427389986551987</v>
      </c>
      <c r="AH477" s="702">
        <f t="shared" si="251"/>
        <v>-62.947894661079815</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5">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1.0285431285861979</v>
      </c>
      <c r="N478" s="694">
        <f t="shared" si="238"/>
        <v>-0.23613699033361835</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-6.9323519304729864</v>
      </c>
      <c r="X478" s="699">
        <f t="shared" si="244"/>
        <v>-155.86850847463498</v>
      </c>
      <c r="Y478" s="702">
        <f t="shared" si="245"/>
        <v>24.131491525365021</v>
      </c>
      <c r="AA478" s="174">
        <f t="shared" si="246"/>
        <v>56561.5</v>
      </c>
      <c r="AB478" s="174">
        <f t="shared" si="247"/>
        <v>3199203282.25</v>
      </c>
      <c r="AD478" s="701">
        <f t="shared" si="248"/>
        <v>27.269031487151661</v>
      </c>
      <c r="AE478" s="702">
        <f t="shared" si="249"/>
        <v>-17.21363697891578</v>
      </c>
      <c r="AG478" s="701">
        <f t="shared" si="250"/>
        <v>-6.2775042887571857</v>
      </c>
      <c r="AH478" s="702">
        <f t="shared" si="251"/>
        <v>-62.826912999230338</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5">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1.0288699723481485</v>
      </c>
      <c r="N479" s="694">
        <f t="shared" si="238"/>
        <v>-0.23745357993801966</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-6.9963796015225359</v>
      </c>
      <c r="X479" s="699">
        <f t="shared" si="244"/>
        <v>-156.2112939339417</v>
      </c>
      <c r="Y479" s="702">
        <f t="shared" si="245"/>
        <v>23.788706066058296</v>
      </c>
      <c r="AA479" s="174">
        <f t="shared" si="246"/>
        <v>56889</v>
      </c>
      <c r="AB479" s="174">
        <f t="shared" si="247"/>
        <v>3236358321</v>
      </c>
      <c r="AD479" s="701">
        <f t="shared" si="248"/>
        <v>27.265233620594188</v>
      </c>
      <c r="AE479" s="702">
        <f t="shared" si="249"/>
        <v>-17.293138374610855</v>
      </c>
      <c r="AG479" s="701">
        <f t="shared" si="250"/>
        <v>-6.3119234501605961</v>
      </c>
      <c r="AH479" s="702">
        <f t="shared" si="251"/>
        <v>-62.706189662292935</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5">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1.0291985984271836</v>
      </c>
      <c r="N480" s="694">
        <f t="shared" si="238"/>
        <v>-0.2387693310402329</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-7.060163603111751</v>
      </c>
      <c r="X480" s="699">
        <f t="shared" si="244"/>
        <v>-156.5536000960046</v>
      </c>
      <c r="Y480" s="702">
        <f t="shared" si="245"/>
        <v>23.446399903995399</v>
      </c>
      <c r="AA480" s="174">
        <f t="shared" si="246"/>
        <v>57216.5</v>
      </c>
      <c r="AB480" s="174">
        <f t="shared" si="247"/>
        <v>3273727872.25</v>
      </c>
      <c r="AD480" s="701">
        <f t="shared" si="248"/>
        <v>27.261417753419529</v>
      </c>
      <c r="AE480" s="702">
        <f t="shared" si="249"/>
        <v>-17.372652295516772</v>
      </c>
      <c r="AG480" s="701">
        <f t="shared" si="250"/>
        <v>-6.346000240769067</v>
      </c>
      <c r="AH480" s="702">
        <f t="shared" si="251"/>
        <v>-62.585725521324044</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5">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1.0295290051165542</v>
      </c>
      <c r="N481" s="694">
        <f t="shared" si="238"/>
        <v>-0.24008423988973923</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-7.1237068113400532</v>
      </c>
      <c r="X481" s="699">
        <f t="shared" si="244"/>
        <v>-156.89542622958683</v>
      </c>
      <c r="Y481" s="702">
        <f t="shared" si="245"/>
        <v>23.104573770413168</v>
      </c>
      <c r="AA481" s="174">
        <f t="shared" si="246"/>
        <v>57544</v>
      </c>
      <c r="AB481" s="174">
        <f t="shared" si="247"/>
        <v>3311311936</v>
      </c>
      <c r="AD481" s="701">
        <f t="shared" si="248"/>
        <v>27.257583926143866</v>
      </c>
      <c r="AE481" s="702">
        <f t="shared" si="249"/>
        <v>-17.452176929455408</v>
      </c>
      <c r="AG481" s="701">
        <f t="shared" si="250"/>
        <v>-6.3797383597969812</v>
      </c>
      <c r="AH481" s="702">
        <f t="shared" si="251"/>
        <v>-62.465521400921283</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5">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1.0298688188278879</v>
      </c>
      <c r="N482" s="694">
        <f t="shared" si="238"/>
        <v>-0.24142838585702714</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-7.188459020893001</v>
      </c>
      <c r="X482" s="699">
        <f t="shared" si="244"/>
        <v>-157.2445830684407</v>
      </c>
      <c r="Y482" s="702">
        <f t="shared" si="245"/>
        <v>22.755416931559296</v>
      </c>
      <c r="AA482" s="174">
        <f t="shared" si="246"/>
        <v>57879</v>
      </c>
      <c r="AB482" s="174">
        <f t="shared" si="247"/>
        <v>3349978641</v>
      </c>
      <c r="AD482" s="701">
        <f t="shared" si="248"/>
        <v>27.253643762238639</v>
      </c>
      <c r="AE482" s="702">
        <f t="shared" si="249"/>
        <v>-17.533531970643995</v>
      </c>
      <c r="AG482" s="701">
        <f t="shared" si="250"/>
        <v>-6.4139025096377464</v>
      </c>
      <c r="AH482" s="702">
        <f t="shared" si="251"/>
        <v>-62.34283434713911</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5">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1.0302104920029904</v>
      </c>
      <c r="N483" s="694">
        <f t="shared" si="238"/>
        <v>-0.24277164266777049</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-7.2529651969893107</v>
      </c>
      <c r="X483" s="699">
        <f t="shared" si="244"/>
        <v>-157.59323619082991</v>
      </c>
      <c r="Y483" s="702">
        <f t="shared" si="245"/>
        <v>22.406763809170087</v>
      </c>
      <c r="AA483" s="174">
        <f t="shared" si="246"/>
        <v>58214</v>
      </c>
      <c r="AB483" s="174">
        <f t="shared" si="247"/>
        <v>3388869796</v>
      </c>
      <c r="AD483" s="701">
        <f t="shared" si="248"/>
        <v>27.249684893373729</v>
      </c>
      <c r="AE483" s="702">
        <f t="shared" si="249"/>
        <v>-17.614894499909294</v>
      </c>
      <c r="AG483" s="701">
        <f t="shared" si="250"/>
        <v>-6.4477199458539891</v>
      </c>
      <c r="AH483" s="702">
        <f t="shared" si="251"/>
        <v>-62.220420960393021</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5">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1.030554022792384</v>
      </c>
      <c r="N484" s="694">
        <f t="shared" si="238"/>
        <v>-0.24411400636138966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-7.317228245573375</v>
      </c>
      <c r="X484" s="699">
        <f t="shared" si="244"/>
        <v>-157.94138491208494</v>
      </c>
      <c r="Y484" s="702">
        <f t="shared" si="245"/>
        <v>22.058615087915058</v>
      </c>
      <c r="AA484" s="174">
        <f t="shared" si="246"/>
        <v>58549</v>
      </c>
      <c r="AB484" s="174">
        <f t="shared" si="247"/>
        <v>3427985401</v>
      </c>
      <c r="AD484" s="701">
        <f t="shared" si="248"/>
        <v>27.245707364309744</v>
      </c>
      <c r="AE484" s="702">
        <f t="shared" si="249"/>
        <v>-17.69626269165655</v>
      </c>
      <c r="AG484" s="701">
        <f t="shared" si="250"/>
        <v>-6.4811944452489882</v>
      </c>
      <c r="AH484" s="702">
        <f t="shared" si="251"/>
        <v>-62.098281978729972</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5">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1.0308994093390078</v>
      </c>
      <c r="N485" s="694">
        <f t="shared" si="238"/>
        <v>-0.24545547299544485</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-7.3812510172530033</v>
      </c>
      <c r="X485" s="699">
        <f t="shared" si="244"/>
        <v>-158.28902857962734</v>
      </c>
      <c r="Y485" s="702">
        <f t="shared" si="245"/>
        <v>21.710971420372658</v>
      </c>
      <c r="AA485" s="174">
        <f t="shared" si="246"/>
        <v>58884</v>
      </c>
      <c r="AB485" s="174">
        <f t="shared" si="247"/>
        <v>3467325456</v>
      </c>
      <c r="AD485" s="701">
        <f t="shared" si="248"/>
        <v>27.241711220252377</v>
      </c>
      <c r="AE485" s="702">
        <f t="shared" si="249"/>
        <v>-17.777634756679781</v>
      </c>
      <c r="AG485" s="701">
        <f t="shared" si="250"/>
        <v>-6.5143297257695458</v>
      </c>
      <c r="AH485" s="702">
        <f t="shared" si="251"/>
        <v>-61.976418093543899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5">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1.0312549647364886</v>
      </c>
      <c r="N486" s="694">
        <f t="shared" si="238"/>
        <v>-0.24682804110656731</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-7.4465566588947265</v>
      </c>
      <c r="X486" s="699">
        <f t="shared" si="244"/>
        <v>-158.64445024800619</v>
      </c>
      <c r="Y486" s="702">
        <f t="shared" si="245"/>
        <v>21.355549751993806</v>
      </c>
      <c r="AA486" s="174">
        <f t="shared" si="246"/>
        <v>59227</v>
      </c>
      <c r="AB486" s="174">
        <f t="shared" si="247"/>
        <v>3507837529</v>
      </c>
      <c r="AD486" s="701">
        <f t="shared" si="248"/>
        <v>27.237600406447502</v>
      </c>
      <c r="AE486" s="702">
        <f t="shared" si="249"/>
        <v>-17.86095221696727</v>
      </c>
      <c r="AG486" s="701">
        <f t="shared" si="250"/>
        <v>-6.5479086522048426</v>
      </c>
      <c r="AH486" s="702">
        <f t="shared" si="251"/>
        <v>-61.851929729244326</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5">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1.0316124616184053</v>
      </c>
      <c r="N487" s="694">
        <f t="shared" si="238"/>
        <v>-0.24819966049569314</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-7.5116162867435072</v>
      </c>
      <c r="X487" s="699">
        <f t="shared" si="244"/>
        <v>-158.99934116921611</v>
      </c>
      <c r="Y487" s="702">
        <f t="shared" si="245"/>
        <v>21.000658830783891</v>
      </c>
      <c r="AA487" s="174">
        <f t="shared" si="246"/>
        <v>59570</v>
      </c>
      <c r="AB487" s="174">
        <f t="shared" si="247"/>
        <v>3548584900</v>
      </c>
      <c r="AD487" s="701">
        <f t="shared" si="248"/>
        <v>27.233470175248996</v>
      </c>
      <c r="AE487" s="702">
        <f t="shared" si="249"/>
        <v>-17.944270054330424</v>
      </c>
      <c r="AG487" s="701">
        <f t="shared" si="250"/>
        <v>-6.58113966956138</v>
      </c>
      <c r="AH487" s="702">
        <f t="shared" si="251"/>
        <v>-61.72773107858734</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5">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1.0319718979670447</v>
      </c>
      <c r="N488" s="694">
        <f t="shared" si="238"/>
        <v>-0.24957032699052251</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-7.5764327887706546</v>
      </c>
      <c r="X488" s="699">
        <f t="shared" si="244"/>
        <v>-159.35370074438688</v>
      </c>
      <c r="Y488" s="702">
        <f t="shared" si="245"/>
        <v>20.646299255613116</v>
      </c>
      <c r="AA488" s="174">
        <f t="shared" si="246"/>
        <v>59913</v>
      </c>
      <c r="AB488" s="174">
        <f t="shared" si="247"/>
        <v>3589567569</v>
      </c>
      <c r="AD488" s="701">
        <f t="shared" si="248"/>
        <v>27.229320576550315</v>
      </c>
      <c r="AE488" s="702">
        <f t="shared" si="249"/>
        <v>-18.027586460657712</v>
      </c>
      <c r="AG488" s="701">
        <f t="shared" si="250"/>
        <v>-6.6140265849680349</v>
      </c>
      <c r="AH488" s="702">
        <f t="shared" si="251"/>
        <v>-61.603822738116378</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5">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1.0323332717565641</v>
      </c>
      <c r="N489" s="694">
        <f t="shared" si="238"/>
        <v>-0.25094003643887214</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-7.6410089977701423</v>
      </c>
      <c r="X489" s="699">
        <f t="shared" si="244"/>
        <v>-159.70752840792693</v>
      </c>
      <c r="Y489" s="702">
        <f t="shared" si="245"/>
        <v>20.29247159207307</v>
      </c>
      <c r="AA489" s="174">
        <f t="shared" si="246"/>
        <v>60256</v>
      </c>
      <c r="AB489" s="174">
        <f t="shared" si="247"/>
        <v>3630785536</v>
      </c>
      <c r="AD489" s="701">
        <f t="shared" si="248"/>
        <v>27.225151660681959</v>
      </c>
      <c r="AE489" s="702">
        <f t="shared" si="249"/>
        <v>-18.110899663747073</v>
      </c>
      <c r="AG489" s="701">
        <f t="shared" si="250"/>
        <v>-6.6465731462807431</v>
      </c>
      <c r="AH489" s="702">
        <f t="shared" si="251"/>
        <v>-61.480205257365988</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5">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1.0327050777172739</v>
      </c>
      <c r="N490" s="694">
        <f t="shared" si="238"/>
        <v>-0.25234069736296744</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-7.7068454912444393</v>
      </c>
      <c r="X490" s="699">
        <f t="shared" si="244"/>
        <v>-160.06905739058899</v>
      </c>
      <c r="Y490" s="702">
        <f t="shared" si="245"/>
        <v>19.930942609411005</v>
      </c>
      <c r="AA490" s="174">
        <f t="shared" si="246"/>
        <v>60607</v>
      </c>
      <c r="AB490" s="174">
        <f t="shared" si="247"/>
        <v>3673208449</v>
      </c>
      <c r="AD490" s="701">
        <f t="shared" si="248"/>
        <v>27.220865565337071</v>
      </c>
      <c r="AE490" s="702">
        <f t="shared" si="249"/>
        <v>-18.196150903482867</v>
      </c>
      <c r="AG490" s="701">
        <f t="shared" si="250"/>
        <v>-6.6795303062665283</v>
      </c>
      <c r="AH490" s="702">
        <f t="shared" si="251"/>
        <v>-61.354006209819978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5">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1.0330789082308529</v>
      </c>
      <c r="N491" s="694">
        <f t="shared" si="238"/>
        <v>-0.25374034734341933</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-7.7724361828296562</v>
      </c>
      <c r="X491" s="699">
        <f t="shared" si="244"/>
        <v>-160.43002826632903</v>
      </c>
      <c r="Y491" s="702">
        <f t="shared" si="245"/>
        <v>19.569971733670968</v>
      </c>
      <c r="AA491" s="174">
        <f t="shared" si="246"/>
        <v>60958</v>
      </c>
      <c r="AB491" s="174">
        <f t="shared" si="247"/>
        <v>3715877764</v>
      </c>
      <c r="AD491" s="701">
        <f t="shared" si="248"/>
        <v>27.216559349212183</v>
      </c>
      <c r="AE491" s="702">
        <f t="shared" si="249"/>
        <v>-18.281395144981399</v>
      </c>
      <c r="AG491" s="701">
        <f t="shared" si="250"/>
        <v>-6.7121388067708887</v>
      </c>
      <c r="AH491" s="702">
        <f t="shared" si="251"/>
        <v>-61.228112765948417</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5">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1.0334547611002824</v>
      </c>
      <c r="N492" s="694">
        <f t="shared" si="238"/>
        <v>-0.25513898199639268</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-7.8377839372825351</v>
      </c>
      <c r="X492" s="699">
        <f t="shared" si="244"/>
        <v>-160.79044053413764</v>
      </c>
      <c r="Y492" s="702">
        <f t="shared" si="245"/>
        <v>19.209559465862355</v>
      </c>
      <c r="AA492" s="174">
        <f t="shared" si="246"/>
        <v>61309</v>
      </c>
      <c r="AB492" s="174">
        <f t="shared" si="247"/>
        <v>3758793481</v>
      </c>
      <c r="AD492" s="701">
        <f t="shared" si="248"/>
        <v>27.212233067585746</v>
      </c>
      <c r="AE492" s="702">
        <f t="shared" si="249"/>
        <v>-18.366630599834615</v>
      </c>
      <c r="AG492" s="701">
        <f t="shared" si="250"/>
        <v>-6.744402479484064</v>
      </c>
      <c r="AH492" s="702">
        <f t="shared" si="251"/>
        <v>-61.102525368282542</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5">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1.0338326341198627</v>
      </c>
      <c r="N493" s="694">
        <f t="shared" si="238"/>
        <v>-0.25653659696029929</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-7.9028915644900302</v>
      </c>
      <c r="X493" s="699">
        <f t="shared" si="244"/>
        <v>-161.15029372740179</v>
      </c>
      <c r="Y493" s="702">
        <f t="shared" si="245"/>
        <v>18.849706272598212</v>
      </c>
      <c r="AA493" s="174">
        <f t="shared" si="246"/>
        <v>61660</v>
      </c>
      <c r="AB493" s="174">
        <f t="shared" si="247"/>
        <v>3801955600</v>
      </c>
      <c r="AD493" s="701">
        <f t="shared" si="248"/>
        <v>27.207886776164131</v>
      </c>
      <c r="AE493" s="702">
        <f t="shared" si="249"/>
        <v>-18.451855515020902</v>
      </c>
      <c r="AG493" s="701">
        <f t="shared" si="250"/>
        <v>-6.7763250965113775</v>
      </c>
      <c r="AH493" s="702">
        <f t="shared" si="251"/>
        <v>-60.977244412122786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5">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1.0342212070616859</v>
      </c>
      <c r="N494" s="694">
        <f t="shared" si="238"/>
        <v>-0.25796500705848829</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-7.9692375997703699</v>
      </c>
      <c r="X494" s="699">
        <f t="shared" si="244"/>
        <v>-161.51776991859606</v>
      </c>
      <c r="Y494" s="702">
        <f t="shared" si="245"/>
        <v>18.482230081403941</v>
      </c>
      <c r="AA494" s="174">
        <f t="shared" si="246"/>
        <v>62019</v>
      </c>
      <c r="AB494" s="174">
        <f t="shared" si="247"/>
        <v>3846356361</v>
      </c>
      <c r="AD494" s="701">
        <f t="shared" si="248"/>
        <v>27.203420783380395</v>
      </c>
      <c r="AE494" s="702">
        <f t="shared" si="249"/>
        <v>-18.539010184613829</v>
      </c>
      <c r="AG494" s="701">
        <f t="shared" si="250"/>
        <v>-6.8086263608322142</v>
      </c>
      <c r="AH494" s="702">
        <f t="shared" si="251"/>
        <v>-60.849425410882702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5">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1.034611888594777</v>
      </c>
      <c r="N495" s="694">
        <f t="shared" si="238"/>
        <v>-0.25939234129844535</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-8.0353382129116842</v>
      </c>
      <c r="X495" s="699">
        <f t="shared" si="244"/>
        <v>-161.88466038052232</v>
      </c>
      <c r="Y495" s="702">
        <f t="shared" si="245"/>
        <v>18.11533961947768</v>
      </c>
      <c r="AA495" s="174">
        <f t="shared" si="246"/>
        <v>62378</v>
      </c>
      <c r="AB495" s="174">
        <f t="shared" si="247"/>
        <v>3891014884</v>
      </c>
      <c r="AD495" s="701">
        <f t="shared" si="248"/>
        <v>27.198933977476042</v>
      </c>
      <c r="AE495" s="702">
        <f t="shared" si="249"/>
        <v>-18.626150228509573</v>
      </c>
      <c r="AG495" s="701">
        <f t="shared" si="250"/>
        <v>-6.8405786421991097</v>
      </c>
      <c r="AH495" s="702">
        <f t="shared" si="251"/>
        <v>-60.721927668796091</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5">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1.0350046763313567</v>
      </c>
      <c r="N496" s="694">
        <f t="shared" si="238"/>
        <v>-0.26081859508601546</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-8.1011962407378562</v>
      </c>
      <c r="X496" s="699">
        <f t="shared" si="244"/>
        <v>-162.25096472228498</v>
      </c>
      <c r="Y496" s="702">
        <f t="shared" si="245"/>
        <v>17.749035277715024</v>
      </c>
      <c r="AA496" s="174">
        <f t="shared" si="246"/>
        <v>62737</v>
      </c>
      <c r="AB496" s="174">
        <f t="shared" si="247"/>
        <v>3935931169</v>
      </c>
      <c r="AD496" s="701">
        <f t="shared" si="248"/>
        <v>27.194426419366099</v>
      </c>
      <c r="AE496" s="702">
        <f t="shared" si="249"/>
        <v>-18.713273880016004</v>
      </c>
      <c r="AG496" s="701">
        <f t="shared" si="250"/>
        <v>-6.8721857913189126</v>
      </c>
      <c r="AH496" s="702">
        <f t="shared" si="251"/>
        <v>-60.59475146209143</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5">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1.0353995678744057</v>
      </c>
      <c r="N497" s="694">
        <f t="shared" si="238"/>
        <v>-0.26224376385157888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-8.166814465649912</v>
      </c>
      <c r="X497" s="699">
        <f t="shared" si="244"/>
        <v>-162.61668258842127</v>
      </c>
      <c r="Y497" s="702">
        <f t="shared" si="245"/>
        <v>17.38331741157873</v>
      </c>
      <c r="AA497" s="174">
        <f t="shared" si="246"/>
        <v>63096</v>
      </c>
      <c r="AB497" s="174">
        <f t="shared" si="247"/>
        <v>3981105216</v>
      </c>
      <c r="AD497" s="701">
        <f t="shared" si="248"/>
        <v>27.189898170383159</v>
      </c>
      <c r="AE497" s="702">
        <f t="shared" si="249"/>
        <v>-18.800379407270501</v>
      </c>
      <c r="AG497" s="701">
        <f t="shared" si="250"/>
        <v>-6.903451599098406</v>
      </c>
      <c r="AH497" s="702">
        <f t="shared" si="251"/>
        <v>-60.467897019685395</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5">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1.0358057085959858</v>
      </c>
      <c r="N498" s="694">
        <f t="shared" si="238"/>
        <v>-0.26370055626112293</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-8.2336953432727924</v>
      </c>
      <c r="X498" s="699">
        <f t="shared" si="244"/>
        <v>-162.99019765371207</v>
      </c>
      <c r="Y498" s="702">
        <f t="shared" si="245"/>
        <v>17.009802346287927</v>
      </c>
      <c r="AA498" s="174">
        <f t="shared" si="246"/>
        <v>63463.25</v>
      </c>
      <c r="AB498" s="174">
        <f t="shared" si="247"/>
        <v>4027584100.5625</v>
      </c>
      <c r="AD498" s="701">
        <f t="shared" si="248"/>
        <v>27.185244514776208</v>
      </c>
      <c r="AE498" s="702">
        <f t="shared" si="249"/>
        <v>-18.889466139247858</v>
      </c>
      <c r="AG498" s="701">
        <f t="shared" si="250"/>
        <v>-6.9350866043136916</v>
      </c>
      <c r="AH498" s="702">
        <f t="shared" si="251"/>
        <v>-60.338460529469458</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5">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1.0362140458242444</v>
      </c>
      <c r="N499" s="694">
        <f t="shared" si="238"/>
        <v>-0.26515620361174963</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-8.3003309914575691</v>
      </c>
      <c r="X499" s="699">
        <f t="shared" si="244"/>
        <v>-163.36309833734666</v>
      </c>
      <c r="Y499" s="702">
        <f t="shared" si="245"/>
        <v>16.636901662653344</v>
      </c>
      <c r="AA499" s="174">
        <f t="shared" si="246"/>
        <v>63830.5</v>
      </c>
      <c r="AB499" s="174">
        <f t="shared" si="247"/>
        <v>4074332730.25</v>
      </c>
      <c r="AD499" s="701">
        <f t="shared" si="248"/>
        <v>27.180569337525927</v>
      </c>
      <c r="AE499" s="702">
        <f t="shared" si="249"/>
        <v>-18.978530345730132</v>
      </c>
      <c r="AG499" s="701">
        <f t="shared" si="250"/>
        <v>-6.9663722388270655</v>
      </c>
      <c r="AH499" s="702">
        <f t="shared" si="251"/>
        <v>-60.209361099568135</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5">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1.0366245769635016</v>
      </c>
      <c r="N500" s="694">
        <f t="shared" si="238"/>
        <v>-0.26661070109150015</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-8.3667242205818368</v>
      </c>
      <c r="X500" s="699">
        <f t="shared" si="244"/>
        <v>-163.73538437040406</v>
      </c>
      <c r="Y500" s="702">
        <f t="shared" si="245"/>
        <v>16.264615629595937</v>
      </c>
      <c r="AA500" s="174">
        <f t="shared" si="246"/>
        <v>64197.75</v>
      </c>
      <c r="AB500" s="174">
        <f t="shared" si="247"/>
        <v>4121351105.0625</v>
      </c>
      <c r="AD500" s="701">
        <f t="shared" si="248"/>
        <v>27.175872705571258</v>
      </c>
      <c r="AE500" s="702">
        <f t="shared" si="249"/>
        <v>-19.067570280045512</v>
      </c>
      <c r="AG500" s="701">
        <f t="shared" si="250"/>
        <v>-6.9973123748732391</v>
      </c>
      <c r="AH500" s="702">
        <f t="shared" si="251"/>
        <v>-60.080598828057035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5">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1.0370372994082513</v>
      </c>
      <c r="N501" s="694">
        <f t="shared" si="238"/>
        <v>-0.26806404391547578</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-8.4328777870322824</v>
      </c>
      <c r="X501" s="699">
        <f t="shared" si="244"/>
        <v>-164.10705552043797</v>
      </c>
      <c r="Y501" s="702">
        <f t="shared" si="245"/>
        <v>15.892944479562033</v>
      </c>
      <c r="AA501" s="174">
        <f t="shared" si="246"/>
        <v>64565</v>
      </c>
      <c r="AB501" s="174">
        <f t="shared" si="247"/>
        <v>4168639225</v>
      </c>
      <c r="AD501" s="701">
        <f t="shared" si="248"/>
        <v>27.171154686258081</v>
      </c>
      <c r="AE501" s="702">
        <f t="shared" si="249"/>
        <v>-19.156584229862251</v>
      </c>
      <c r="AG501" s="701">
        <f t="shared" si="250"/>
        <v>-7.027910824599056</v>
      </c>
      <c r="AH501" s="702">
        <f t="shared" si="251"/>
        <v>-59.952173765639266</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5">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1.037462122777874</v>
      </c>
      <c r="N502" s="694">
        <f t="shared" si="238"/>
        <v>-0.26955081247833318</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-8.5003620377420557</v>
      </c>
      <c r="X502" s="699">
        <f t="shared" si="244"/>
        <v>-164.48694476998708</v>
      </c>
      <c r="Y502" s="702">
        <f t="shared" si="245"/>
        <v>15.513055230012924</v>
      </c>
      <c r="AA502" s="174">
        <f t="shared" si="246"/>
        <v>64941</v>
      </c>
      <c r="AB502" s="174">
        <f t="shared" si="247"/>
        <v>4217333481</v>
      </c>
      <c r="AD502" s="701">
        <f t="shared" si="248"/>
        <v>27.166302169639998</v>
      </c>
      <c r="AE502" s="702">
        <f t="shared" si="249"/>
        <v>-19.247690328688346</v>
      </c>
      <c r="AG502" s="701">
        <f t="shared" si="250"/>
        <v>-7.058888229146608</v>
      </c>
      <c r="AH502" s="702">
        <f t="shared" si="251"/>
        <v>-59.821038242612083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5">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1.037889237557247</v>
      </c>
      <c r="N503" s="694">
        <f t="shared" si="238"/>
        <v>-0.27103636064527181</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-8.5676007491376893</v>
      </c>
      <c r="X503" s="699">
        <f t="shared" si="244"/>
        <v>-164.86618910897727</v>
      </c>
      <c r="Y503" s="702">
        <f t="shared" si="245"/>
        <v>15.133810891022733</v>
      </c>
      <c r="AA503" s="174">
        <f t="shared" si="246"/>
        <v>65317</v>
      </c>
      <c r="AB503" s="174">
        <f t="shared" si="247"/>
        <v>4266310489</v>
      </c>
      <c r="AD503" s="701">
        <f t="shared" si="248"/>
        <v>27.161427378508343</v>
      </c>
      <c r="AE503" s="702">
        <f t="shared" si="249"/>
        <v>-19.338765664016154</v>
      </c>
      <c r="AG503" s="701">
        <f t="shared" si="250"/>
        <v>-7.0895153711629941</v>
      </c>
      <c r="AH503" s="702">
        <f t="shared" si="251"/>
        <v>-59.690256148559534</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5">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1.0383186409186405</v>
      </c>
      <c r="N504" s="694">
        <f t="shared" si="238"/>
        <v>-0.27252068336961643</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-8.6345967119686424</v>
      </c>
      <c r="X504" s="699">
        <f t="shared" si="244"/>
        <v>-165.24478840308174</v>
      </c>
      <c r="Y504" s="702">
        <f t="shared" si="245"/>
        <v>14.755211596918258</v>
      </c>
      <c r="AA504" s="174">
        <f t="shared" si="246"/>
        <v>65693</v>
      </c>
      <c r="AB504" s="174">
        <f t="shared" si="247"/>
        <v>4315570249</v>
      </c>
      <c r="AD504" s="701">
        <f t="shared" si="248"/>
        <v>27.156530386387775</v>
      </c>
      <c r="AE504" s="702">
        <f t="shared" si="249"/>
        <v>-19.429808504385107</v>
      </c>
      <c r="AG504" s="701">
        <f t="shared" si="250"/>
        <v>-7.1197961542680197</v>
      </c>
      <c r="AH504" s="702">
        <f t="shared" si="251"/>
        <v>-59.559827390403875</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5">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1.038750330023861</v>
      </c>
      <c r="N505" s="694">
        <f t="shared" si="238"/>
        <v>-0.27400377563461337</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-8.701352663277321</v>
      </c>
      <c r="X505" s="699">
        <f t="shared" si="244"/>
        <v>-165.62274255558106</v>
      </c>
      <c r="Y505" s="702">
        <f t="shared" si="245"/>
        <v>14.377257444418944</v>
      </c>
      <c r="AA505" s="174">
        <f t="shared" si="246"/>
        <v>66069</v>
      </c>
      <c r="AB505" s="174">
        <f t="shared" si="247"/>
        <v>4365112761</v>
      </c>
      <c r="AD505" s="701">
        <f t="shared" si="248"/>
        <v>27.151611267199737</v>
      </c>
      <c r="AE505" s="702">
        <f t="shared" si="249"/>
        <v>-19.520817152337923</v>
      </c>
      <c r="AG505" s="701">
        <f t="shared" si="250"/>
        <v>-7.1497344214790992</v>
      </c>
      <c r="AH505" s="702">
        <f t="shared" si="251"/>
        <v>-59.429751827551712</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5">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1.0391944282649537</v>
      </c>
      <c r="N506" s="694">
        <f t="shared" si="238"/>
        <v>-0.27552010240378633</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-8.7694164565617463</v>
      </c>
      <c r="X506" s="699">
        <f t="shared" si="244"/>
        <v>-166.00882428543247</v>
      </c>
      <c r="Y506" s="702">
        <f t="shared" si="245"/>
        <v>13.991175714567532</v>
      </c>
      <c r="AA506" s="174">
        <f t="shared" si="246"/>
        <v>66453.75</v>
      </c>
      <c r="AB506" s="174">
        <f t="shared" si="247"/>
        <v>4416100889.0625</v>
      </c>
      <c r="AD506" s="701">
        <f t="shared" si="248"/>
        <v>27.146554845901086</v>
      </c>
      <c r="AE506" s="702">
        <f t="shared" si="249"/>
        <v>-19.613906556449702</v>
      </c>
      <c r="AG506" s="701">
        <f t="shared" si="250"/>
        <v>-7.1800187723972471</v>
      </c>
      <c r="AH506" s="702">
        <f t="shared" si="251"/>
        <v>-59.29701466481152</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5">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1.0396409138260752</v>
      </c>
      <c r="N507" s="694">
        <f t="shared" si="238"/>
        <v>-0.27703513024649812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-8.8372345695475847</v>
      </c>
      <c r="X507" s="699">
        <f t="shared" si="244"/>
        <v>-166.39423041086161</v>
      </c>
      <c r="Y507" s="702">
        <f t="shared" si="245"/>
        <v>13.60576958913839</v>
      </c>
      <c r="AA507" s="174">
        <f t="shared" si="246"/>
        <v>66838.5</v>
      </c>
      <c r="AB507" s="174">
        <f t="shared" si="247"/>
        <v>4467385082.25</v>
      </c>
      <c r="AD507" s="701">
        <f t="shared" si="248"/>
        <v>27.141475413528507</v>
      </c>
      <c r="AE507" s="702">
        <f t="shared" si="249"/>
        <v>-19.706956667441393</v>
      </c>
      <c r="AG507" s="701">
        <f t="shared" si="250"/>
        <v>-7.209952433068807</v>
      </c>
      <c r="AH507" s="702">
        <f t="shared" si="251"/>
        <v>-59.164646881675871</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5">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1.0400897836327674</v>
      </c>
      <c r="N508" s="694">
        <f t="shared" si="238"/>
        <v>-0.27854885388512168</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-8.9048097687040997</v>
      </c>
      <c r="X508" s="699">
        <f t="shared" si="244"/>
        <v>-166.77896094660719</v>
      </c>
      <c r="Y508" s="702">
        <f t="shared" si="245"/>
        <v>13.221039053392815</v>
      </c>
      <c r="AA508" s="174">
        <f t="shared" si="246"/>
        <v>67223.25</v>
      </c>
      <c r="AB508" s="174">
        <f t="shared" si="247"/>
        <v>4518965340.5625</v>
      </c>
      <c r="AD508" s="701">
        <f t="shared" si="248"/>
        <v>27.136373050498964</v>
      </c>
      <c r="AE508" s="702">
        <f t="shared" si="249"/>
        <v>-19.799965771586411</v>
      </c>
      <c r="AG508" s="701">
        <f t="shared" si="250"/>
        <v>-7.2395393322607955</v>
      </c>
      <c r="AH508" s="702">
        <f t="shared" si="251"/>
        <v>-59.032648179985983</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5">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1.0405410345994748</v>
      </c>
      <c r="N509" s="694">
        <f t="shared" si="238"/>
        <v>-0.28006126807501969</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-8.9721447672261139</v>
      </c>
      <c r="X509" s="699">
        <f t="shared" si="244"/>
        <v>-167.16301594602271</v>
      </c>
      <c r="Y509" s="702">
        <f t="shared" si="245"/>
        <v>12.836984053977289</v>
      </c>
      <c r="AA509" s="174">
        <f t="shared" si="246"/>
        <v>67608</v>
      </c>
      <c r="AB509" s="174">
        <f t="shared" si="247"/>
        <v>4570841664</v>
      </c>
      <c r="AD509" s="701">
        <f t="shared" si="248"/>
        <v>27.131247837613945</v>
      </c>
      <c r="AE509" s="702">
        <f t="shared" si="249"/>
        <v>-19.892932188790407</v>
      </c>
      <c r="AG509" s="701">
        <f t="shared" si="250"/>
        <v>-7.2687833377258357</v>
      </c>
      <c r="AH509" s="702">
        <f t="shared" si="251"/>
        <v>-58.901018214119468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5">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1.0410053032741744</v>
      </c>
      <c r="N510" s="694">
        <f t="shared" si="238"/>
        <v>-0.28160769918431139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-9.0408089355068277</v>
      </c>
      <c r="X510" s="699">
        <f t="shared" si="244"/>
        <v>-167.55535535946257</v>
      </c>
      <c r="Y510" s="702">
        <f t="shared" si="245"/>
        <v>12.444644640537433</v>
      </c>
      <c r="AA510" s="174">
        <f t="shared" si="246"/>
        <v>68001.75</v>
      </c>
      <c r="AB510" s="174">
        <f t="shared" si="247"/>
        <v>4624238003.0625</v>
      </c>
      <c r="AD510" s="701">
        <f t="shared" si="248"/>
        <v>27.125979163554032</v>
      </c>
      <c r="AE510" s="702">
        <f t="shared" si="249"/>
        <v>-19.988027343958834</v>
      </c>
      <c r="AG510" s="701">
        <f t="shared" si="250"/>
        <v>-7.2983603676536104</v>
      </c>
      <c r="AH510" s="702">
        <f t="shared" si="251"/>
        <v>-58.766690550243439</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5">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1.0414720592371227</v>
      </c>
      <c r="N511" s="694">
        <f t="shared" si="238"/>
        <v>-0.28315274785938743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-9.1092271187119458</v>
      </c>
      <c r="X511" s="699">
        <f t="shared" si="244"/>
        <v>-167.94698749708499</v>
      </c>
      <c r="Y511" s="702">
        <f t="shared" si="245"/>
        <v>12.05301250291501</v>
      </c>
      <c r="AA511" s="174">
        <f t="shared" si="246"/>
        <v>68395.5</v>
      </c>
      <c r="AB511" s="174">
        <f t="shared" si="247"/>
        <v>4677944420.25</v>
      </c>
      <c r="AD511" s="701">
        <f t="shared" si="248"/>
        <v>27.120686730550403</v>
      </c>
      <c r="AE511" s="702">
        <f t="shared" si="249"/>
        <v>-20.08307433565308</v>
      </c>
      <c r="AG511" s="701">
        <f t="shared" si="250"/>
        <v>-7.3275862805648204</v>
      </c>
      <c r="AH511" s="702">
        <f t="shared" si="251"/>
        <v>-58.632748194806886</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5">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1.041941299145646</v>
      </c>
      <c r="N512" s="694">
        <f t="shared" si="238"/>
        <v>-0.28469640858647499</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-9.1774020601106301</v>
      </c>
      <c r="X512" s="699">
        <f t="shared" si="244"/>
        <v>-168.33791253754208</v>
      </c>
      <c r="Y512" s="702">
        <f t="shared" si="245"/>
        <v>11.662087462457919</v>
      </c>
      <c r="AA512" s="174">
        <f t="shared" si="246"/>
        <v>68789.25</v>
      </c>
      <c r="AB512" s="174">
        <f t="shared" si="247"/>
        <v>4731960915.5625</v>
      </c>
      <c r="AD512" s="701">
        <f t="shared" si="248"/>
        <v>27.115370626382486</v>
      </c>
      <c r="AE512" s="702">
        <f t="shared" si="249"/>
        <v>-20.178071467069476</v>
      </c>
      <c r="AG512" s="701">
        <f t="shared" si="250"/>
        <v>-7.3564650317894342</v>
      </c>
      <c r="AH512" s="702">
        <f t="shared" si="251"/>
        <v>-58.499190630101928</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5">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1.0424130196453165</v>
      </c>
      <c r="N513" s="694">
        <f t="shared" si="238"/>
        <v>-0.28623867588816143</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-9.245336450136838</v>
      </c>
      <c r="X513" s="699">
        <f t="shared" si="244"/>
        <v>-168.72813069907059</v>
      </c>
      <c r="Y513" s="702">
        <f t="shared" si="245"/>
        <v>11.27186930092941</v>
      </c>
      <c r="AA513" s="174">
        <f t="shared" si="246"/>
        <v>69183</v>
      </c>
      <c r="AB513" s="174">
        <f t="shared" si="247"/>
        <v>4786287489</v>
      </c>
      <c r="AD513" s="701">
        <f t="shared" si="248"/>
        <v>27.110030939200648</v>
      </c>
      <c r="AE513" s="702">
        <f t="shared" si="249"/>
        <v>-20.273017074723459</v>
      </c>
      <c r="AG513" s="701">
        <f t="shared" si="250"/>
        <v>-7.3850005151721376</v>
      </c>
      <c r="AH513" s="702">
        <f t="shared" si="251"/>
        <v>-58.366017291093861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5">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1.0428983870068764</v>
      </c>
      <c r="N514" s="694">
        <f t="shared" si="238"/>
        <v>-0.28781572564152025</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-9.3146204185673227</v>
      </c>
      <c r="X514" s="699">
        <f t="shared" si="244"/>
        <v>-169.12678417597223</v>
      </c>
      <c r="Y514" s="702">
        <f t="shared" si="245"/>
        <v>10.873215824027767</v>
      </c>
      <c r="AA514" s="174">
        <f t="shared" si="246"/>
        <v>69586</v>
      </c>
      <c r="AB514" s="174">
        <f t="shared" si="247"/>
        <v>4842211396</v>
      </c>
      <c r="AD514" s="701">
        <f t="shared" si="248"/>
        <v>27.104541483579077</v>
      </c>
      <c r="AE514" s="702">
        <f t="shared" si="249"/>
        <v>-20.370138095093484</v>
      </c>
      <c r="AG514" s="701">
        <f t="shared" si="250"/>
        <v>-7.4138548977874787</v>
      </c>
      <c r="AH514" s="702">
        <f t="shared" si="251"/>
        <v>-58.230112668479485</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5">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1.043386345729403</v>
      </c>
      <c r="N515" s="694">
        <f t="shared" si="238"/>
        <v>-0.28939130423806558</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-9.3836579397410844</v>
      </c>
      <c r="X515" s="699">
        <f t="shared" si="244"/>
        <v>-169.52469775844332</v>
      </c>
      <c r="Y515" s="702">
        <f t="shared" si="245"/>
        <v>10.475302241556676</v>
      </c>
      <c r="AA515" s="174">
        <f t="shared" si="246"/>
        <v>69989</v>
      </c>
      <c r="AB515" s="174">
        <f t="shared" si="247"/>
        <v>4898460121</v>
      </c>
      <c r="AD515" s="701">
        <f t="shared" si="248"/>
        <v>27.099027511890622</v>
      </c>
      <c r="AE515" s="702">
        <f t="shared" si="249"/>
        <v>-20.467201719774113</v>
      </c>
      <c r="AG515" s="701">
        <f t="shared" si="250"/>
        <v>-7.4423577568941468</v>
      </c>
      <c r="AH515" s="702">
        <f t="shared" si="251"/>
        <v>-58.094609191417412</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5">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1.0438768921789123</v>
      </c>
      <c r="N516" s="694">
        <f t="shared" si="238"/>
        <v>-0.29096540592378828</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-9.4524517347380659</v>
      </c>
      <c r="X516" s="699">
        <f t="shared" si="244"/>
        <v>-169.92187180488003</v>
      </c>
      <c r="Y516" s="702">
        <f t="shared" si="245"/>
        <v>10.078128195119973</v>
      </c>
      <c r="AA516" s="174">
        <f t="shared" si="246"/>
        <v>70392</v>
      </c>
      <c r="AB516" s="174">
        <f t="shared" si="247"/>
        <v>4955033664</v>
      </c>
      <c r="AD516" s="701">
        <f t="shared" si="248"/>
        <v>27.093489119774596</v>
      </c>
      <c r="AE516" s="702">
        <f t="shared" si="249"/>
        <v>-20.564206268368931</v>
      </c>
      <c r="AG516" s="701">
        <f t="shared" si="250"/>
        <v>-7.470513075440099</v>
      </c>
      <c r="AH516" s="702">
        <f t="shared" si="251"/>
        <v>-57.959506107415642</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5">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1.0443700227089949</v>
      </c>
      <c r="N517" s="694">
        <f t="shared" si="238"/>
        <v>-0.29253802498473697</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-9.5210044722546208</v>
      </c>
      <c r="X517" s="699">
        <f t="shared" si="244"/>
        <v>-170.31830671417691</v>
      </c>
      <c r="Y517" s="702">
        <f t="shared" si="245"/>
        <v>9.6816932858230871</v>
      </c>
      <c r="AA517" s="174">
        <f t="shared" si="246"/>
        <v>70795</v>
      </c>
      <c r="AB517" s="174">
        <f t="shared" si="247"/>
        <v>5011932025</v>
      </c>
      <c r="AD517" s="701">
        <f t="shared" si="248"/>
        <v>27.087926403225886</v>
      </c>
      <c r="AE517" s="702">
        <f t="shared" si="249"/>
        <v>-20.661150093543153</v>
      </c>
      <c r="AG517" s="701">
        <f t="shared" si="250"/>
        <v>-7.4983247743627963</v>
      </c>
      <c r="AH517" s="702">
        <f t="shared" si="251"/>
        <v>-57.824802616902019</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5">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1.0448771419065535</v>
      </c>
      <c r="N518" s="694">
        <f t="shared" si="238"/>
        <v>-0.29414520016435397</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-9.5908839991668913</v>
      </c>
      <c r="X518" s="699">
        <f t="shared" si="244"/>
        <v>-170.72307661371048</v>
      </c>
      <c r="Y518" s="702">
        <f t="shared" si="245"/>
        <v>9.2769233862895248</v>
      </c>
      <c r="AA518" s="174">
        <f t="shared" si="246"/>
        <v>71207.25</v>
      </c>
      <c r="AB518" s="174">
        <f t="shared" si="247"/>
        <v>5070472452.5625</v>
      </c>
      <c r="AD518" s="701">
        <f t="shared" si="248"/>
        <v>27.082210938590912</v>
      </c>
      <c r="AE518" s="702">
        <f t="shared" si="249"/>
        <v>-20.760254542349852</v>
      </c>
      <c r="AG518" s="701">
        <f t="shared" si="250"/>
        <v>-7.5264233147608568</v>
      </c>
      <c r="AH518" s="702">
        <f t="shared" si="251"/>
        <v>-57.687419871566647</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5">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1.045386957411792</v>
      </c>
      <c r="N519" s="694">
        <f t="shared" si="238"/>
        <v>-0.29575081190986924</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-9.6605167628004036</v>
      </c>
      <c r="X519" s="699">
        <f t="shared" si="244"/>
        <v>-171.1270740271745</v>
      </c>
      <c r="Y519" s="702">
        <f t="shared" si="245"/>
        <v>8.8729259728254988</v>
      </c>
      <c r="AA519" s="174">
        <f t="shared" si="246"/>
        <v>71619.5</v>
      </c>
      <c r="AB519" s="174">
        <f t="shared" si="247"/>
        <v>5129352780.25</v>
      </c>
      <c r="AD519" s="701">
        <f t="shared" si="248"/>
        <v>27.07647022437499</v>
      </c>
      <c r="AE519" s="702">
        <f t="shared" si="249"/>
        <v>-20.859292063428157</v>
      </c>
      <c r="AG519" s="701">
        <f t="shared" si="250"/>
        <v>-7.5541703874077601</v>
      </c>
      <c r="AH519" s="702">
        <f t="shared" si="251"/>
        <v>-57.550453435387297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5">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1.0458994652818283</v>
      </c>
      <c r="N520" s="694">
        <f t="shared" si="238"/>
        <v>-0.29735485423510832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-9.7299054581625732</v>
      </c>
      <c r="X520" s="699">
        <f t="shared" si="244"/>
        <v>-171.53029950845982</v>
      </c>
      <c r="Y520" s="702">
        <f t="shared" si="245"/>
        <v>8.4697004915401806</v>
      </c>
      <c r="AA520" s="174">
        <f t="shared" si="246"/>
        <v>72031.75</v>
      </c>
      <c r="AB520" s="174">
        <f t="shared" si="247"/>
        <v>5188573008.0625</v>
      </c>
      <c r="AD520" s="701">
        <f t="shared" si="248"/>
        <v>27.070704364412158</v>
      </c>
      <c r="AE520" s="702">
        <f t="shared" si="249"/>
        <v>-20.958260995566025</v>
      </c>
      <c r="AG520" s="701">
        <f t="shared" si="250"/>
        <v>-7.5815699963342373</v>
      </c>
      <c r="AH520" s="702">
        <f t="shared" si="251"/>
        <v>-57.413902307021438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5">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1.0464146615607022</v>
      </c>
      <c r="N521" s="694">
        <f t="shared" si="238"/>
        <v>-0.29895732119789797</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-9.7990527284710698</v>
      </c>
      <c r="X521" s="699">
        <f t="shared" si="244"/>
        <v>-171.93275365269821</v>
      </c>
      <c r="Y521" s="702">
        <f t="shared" si="245"/>
        <v>8.0672463473017899</v>
      </c>
      <c r="AA521" s="174">
        <f t="shared" si="246"/>
        <v>72444</v>
      </c>
      <c r="AB521" s="174">
        <f t="shared" si="247"/>
        <v>5248133136</v>
      </c>
      <c r="AD521" s="701">
        <f t="shared" si="248"/>
        <v>27.064913462873633</v>
      </c>
      <c r="AE521" s="702">
        <f t="shared" si="249"/>
        <v>-21.057159710330918</v>
      </c>
      <c r="AG521" s="701">
        <f t="shared" si="250"/>
        <v>-7.6086260831347268</v>
      </c>
      <c r="AH521" s="702">
        <f t="shared" si="251"/>
        <v>-57.277765438536328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5">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1.0469445080738584</v>
      </c>
      <c r="N522" s="694">
        <f t="shared" si="238"/>
        <v>-0.30059507945528791</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-9.8695463161005215</v>
      </c>
      <c r="X522" s="699">
        <f t="shared" si="244"/>
        <v>-172.34368451744621</v>
      </c>
      <c r="Y522" s="702">
        <f t="shared" si="245"/>
        <v>7.6563154825537936</v>
      </c>
      <c r="AA522" s="174">
        <f t="shared" si="246"/>
        <v>72865.75</v>
      </c>
      <c r="AB522" s="174">
        <f t="shared" si="247"/>
        <v>5309417523.0625</v>
      </c>
      <c r="AD522" s="701">
        <f t="shared" si="248"/>
        <v>27.058963309387206</v>
      </c>
      <c r="AE522" s="702">
        <f t="shared" si="249"/>
        <v>-21.158263145971507</v>
      </c>
      <c r="AG522" s="701">
        <f t="shared" si="250"/>
        <v>-7.6359542161165521</v>
      </c>
      <c r="AH522" s="702">
        <f t="shared" si="251"/>
        <v>-57.138918944370005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5">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1.0474771599108206</v>
      </c>
      <c r="N523" s="694">
        <f t="shared" si="238"/>
        <v>-0.30223117646690911</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-9.9397926598072512</v>
      </c>
      <c r="X523" s="699">
        <f t="shared" si="244"/>
        <v>-172.75380947475759</v>
      </c>
      <c r="Y523" s="702">
        <f t="shared" si="245"/>
        <v>7.2461905252424117</v>
      </c>
      <c r="AA523" s="174">
        <f t="shared" si="246"/>
        <v>73287.5</v>
      </c>
      <c r="AB523" s="174">
        <f t="shared" si="247"/>
        <v>5371057656.25</v>
      </c>
      <c r="AD523" s="701">
        <f t="shared" si="248"/>
        <v>27.052987168492532</v>
      </c>
      <c r="AE523" s="702">
        <f t="shared" si="249"/>
        <v>-21.259289744409898</v>
      </c>
      <c r="AG523" s="701">
        <f t="shared" si="250"/>
        <v>-7.6629309633112266</v>
      </c>
      <c r="AH523" s="702">
        <f t="shared" si="251"/>
        <v>-57.000503659634468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5">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1.0480126127941756</v>
      </c>
      <c r="N524" s="694">
        <f t="shared" si="238"/>
        <v>-0.30386560601339047</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-10.009794429922181</v>
      </c>
      <c r="X524" s="699">
        <f t="shared" si="244"/>
        <v>-173.16312929094673</v>
      </c>
      <c r="Y524" s="702">
        <f t="shared" si="245"/>
        <v>6.8368707090532723</v>
      </c>
      <c r="AA524" s="174">
        <f t="shared" si="246"/>
        <v>73709.25</v>
      </c>
      <c r="AB524" s="174">
        <f t="shared" si="247"/>
        <v>5433053535.5625</v>
      </c>
      <c r="AD524" s="701">
        <f t="shared" si="248"/>
        <v>27.046985152745087</v>
      </c>
      <c r="AE524" s="702">
        <f t="shared" si="249"/>
        <v>-21.360237863429305</v>
      </c>
      <c r="AG524" s="701">
        <f t="shared" si="250"/>
        <v>-7.68956035056204</v>
      </c>
      <c r="AH524" s="702">
        <f t="shared" si="251"/>
        <v>-56.862518318550855</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5">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1.0485508624327771</v>
      </c>
      <c r="N525" s="694">
        <f t="shared" ref="N525:N588" si="270">-ATAN(G525/z_RHP)</f>
        <v>-0.30549836192366675</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-10.079554245591515</v>
      </c>
      <c r="X525" s="699">
        <f t="shared" ref="X525:X588" si="276">((L525+R525+N525+V525)-(J525+P525+T525))*radconv</f>
        <v>-173.57164477422353</v>
      </c>
      <c r="Y525" s="702">
        <f t="shared" ref="Y525:Y588" si="277">IF(X525&gt;0,X525,X525+180)</f>
        <v>6.4283552257764711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-7.7158463407964275</v>
      </c>
      <c r="AH525" s="702">
        <f t="shared" ref="AH525:AH588" si="283">(L525+N525-(J525+V525))*radconv</f>
        <v>-56.724961609386952</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5">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1.0491047668794538</v>
      </c>
      <c r="N526" s="694">
        <f t="shared" si="270"/>
        <v>-0.30716809164361064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-10.150720171615292</v>
      </c>
      <c r="X526" s="699">
        <f t="shared" si="276"/>
        <v>-173.98901417842546</v>
      </c>
      <c r="Y526" s="702">
        <f t="shared" si="277"/>
        <v>6.0109858215745362</v>
      </c>
      <c r="AA526" s="174">
        <f t="shared" si="278"/>
        <v>74562.75</v>
      </c>
      <c r="AB526" s="174">
        <f t="shared" si="279"/>
        <v>5559603687.5625</v>
      </c>
      <c r="AD526" s="701">
        <f t="shared" si="280"/>
        <v>27.03476010696809</v>
      </c>
      <c r="AE526" s="702">
        <f t="shared" si="281"/>
        <v>-21.564280970624036</v>
      </c>
      <c r="AG526" s="701">
        <f t="shared" si="282"/>
        <v>-7.7424039569074035</v>
      </c>
      <c r="AH526" s="702">
        <f t="shared" si="283"/>
        <v>-56.58458591105267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5">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1.0496615931357438</v>
      </c>
      <c r="N527" s="694">
        <f t="shared" si="270"/>
        <v>-0.30883605448764095</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-10.221637929302043</v>
      </c>
      <c r="X527" s="699">
        <f t="shared" si="276"/>
        <v>-174.40554250002089</v>
      </c>
      <c r="Y527" s="702">
        <f t="shared" si="277"/>
        <v>5.5944574999791143</v>
      </c>
      <c r="AA527" s="174">
        <f t="shared" si="278"/>
        <v>74994.5</v>
      </c>
      <c r="AB527" s="174">
        <f t="shared" si="279"/>
        <v>5624175030.25</v>
      </c>
      <c r="AD527" s="701">
        <f t="shared" si="280"/>
        <v>27.02853608112536</v>
      </c>
      <c r="AE527" s="702">
        <f t="shared" si="281"/>
        <v>-21.667368803233764</v>
      </c>
      <c r="AG527" s="701">
        <f t="shared" si="282"/>
        <v>-7.7686099067330066</v>
      </c>
      <c r="AH527" s="702">
        <f t="shared" si="283"/>
        <v>-56.4446564876934</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5">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1.0502213365542257</v>
      </c>
      <c r="N528" s="694">
        <f t="shared" si="270"/>
        <v>-0.31050224399267129</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-10.292310170259141</v>
      </c>
      <c r="X528" s="699">
        <f t="shared" si="276"/>
        <v>-174.82123073732211</v>
      </c>
      <c r="Y528" s="702">
        <f t="shared" si="277"/>
        <v>5.1787692626778892</v>
      </c>
      <c r="AA528" s="174">
        <f t="shared" si="278"/>
        <v>75426.25</v>
      </c>
      <c r="AB528" s="174">
        <f t="shared" si="279"/>
        <v>5689119189.0625</v>
      </c>
      <c r="AD528" s="701">
        <f t="shared" si="280"/>
        <v>27.022285419528398</v>
      </c>
      <c r="AE528" s="702">
        <f t="shared" si="281"/>
        <v>-21.77036776532049</v>
      </c>
      <c r="AG528" s="701">
        <f t="shared" si="282"/>
        <v>-7.7944682452733636</v>
      </c>
      <c r="AH528" s="702">
        <f t="shared" si="283"/>
        <v>-56.305171790252722</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5">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1.0507839924730595</v>
      </c>
      <c r="N529" s="694">
        <f t="shared" si="270"/>
        <v>-0.31216665374873565</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-10.362739495414443</v>
      </c>
      <c r="X529" s="699">
        <f t="shared" si="276"/>
        <v>-175.23607993118418</v>
      </c>
      <c r="Y529" s="702">
        <f t="shared" si="277"/>
        <v>4.7639200688158212</v>
      </c>
      <c r="AA529" s="174">
        <f t="shared" si="278"/>
        <v>75858</v>
      </c>
      <c r="AB529" s="174">
        <f t="shared" si="279"/>
        <v>5754436164</v>
      </c>
      <c r="AD529" s="701">
        <f t="shared" si="280"/>
        <v>27.016008244509976</v>
      </c>
      <c r="AE529" s="702">
        <f t="shared" si="281"/>
        <v>-21.873276263470554</v>
      </c>
      <c r="AG529" s="701">
        <f t="shared" si="282"/>
        <v>-7.8199829639380525</v>
      </c>
      <c r="AH529" s="702">
        <f t="shared" si="283"/>
        <v>-56.166130224423597</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5">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1.0513626899674713</v>
      </c>
      <c r="N530" s="694">
        <f t="shared" si="270"/>
        <v>-0.31386776512878467</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-10.434551313590338</v>
      </c>
      <c r="X530" s="699">
        <f t="shared" si="276"/>
        <v>-175.65967038668401</v>
      </c>
      <c r="Y530" s="702">
        <f t="shared" si="277"/>
        <v>4.340329613315987</v>
      </c>
      <c r="AA530" s="174">
        <f t="shared" si="278"/>
        <v>76299.75</v>
      </c>
      <c r="AB530" s="174">
        <f t="shared" si="279"/>
        <v>5821651850.0625</v>
      </c>
      <c r="AD530" s="701">
        <f t="shared" si="280"/>
        <v>27.009558366592596</v>
      </c>
      <c r="AE530" s="702">
        <f t="shared" si="281"/>
        <v>-21.978473022321449</v>
      </c>
      <c r="AG530" s="701">
        <f t="shared" si="282"/>
        <v>-7.8457370905888055</v>
      </c>
      <c r="AH530" s="702">
        <f t="shared" si="283"/>
        <v>-56.024325177037497</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5">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1.0519444265216049</v>
      </c>
      <c r="N531" s="694">
        <f t="shared" si="270"/>
        <v>-0.31556699995583626</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-10.506114184807572</v>
      </c>
      <c r="X531" s="699">
        <f t="shared" si="276"/>
        <v>-176.08238481878456</v>
      </c>
      <c r="Y531" s="702">
        <f t="shared" si="277"/>
        <v>3.9176151812154387</v>
      </c>
      <c r="AA531" s="174">
        <f t="shared" si="278"/>
        <v>76741.5</v>
      </c>
      <c r="AB531" s="174">
        <f t="shared" si="279"/>
        <v>5889257822.25</v>
      </c>
      <c r="AD531" s="701">
        <f t="shared" si="280"/>
        <v>27.003080992825794</v>
      </c>
      <c r="AE531" s="702">
        <f t="shared" si="281"/>
        <v>-22.083571804138359</v>
      </c>
      <c r="AG531" s="701">
        <f t="shared" si="282"/>
        <v>-7.8711397508704026</v>
      </c>
      <c r="AH531" s="702">
        <f t="shared" si="283"/>
        <v>-55.882980509811681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5">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1.0525291970963637</v>
      </c>
      <c r="N532" s="694">
        <f t="shared" si="270"/>
        <v>-0.31726435153684623</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-10.577430738559045</v>
      </c>
      <c r="X532" s="699">
        <f t="shared" si="276"/>
        <v>-176.50422447515396</v>
      </c>
      <c r="Y532" s="702">
        <f t="shared" si="277"/>
        <v>3.4957755248460387</v>
      </c>
      <c r="AA532" s="174">
        <f t="shared" si="278"/>
        <v>77183.25</v>
      </c>
      <c r="AB532" s="174">
        <f t="shared" si="279"/>
        <v>5957254080.5625</v>
      </c>
      <c r="AD532" s="701">
        <f t="shared" si="280"/>
        <v>26.996576255108302</v>
      </c>
      <c r="AE532" s="702">
        <f t="shared" si="281"/>
        <v>-22.188571002819543</v>
      </c>
      <c r="AG532" s="701">
        <f t="shared" si="282"/>
        <v>-7.896195021678829</v>
      </c>
      <c r="AH532" s="702">
        <f t="shared" si="283"/>
        <v>-55.74209437604712</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5">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1.0531169966375915</v>
      </c>
      <c r="N533" s="694">
        <f t="shared" si="270"/>
        <v>-0.3189598132370029</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-10.648503554305789</v>
      </c>
      <c r="X533" s="699">
        <f t="shared" si="276"/>
        <v>-176.92519064642684</v>
      </c>
      <c r="Y533" s="702">
        <f t="shared" si="277"/>
        <v>3.0748093535731584</v>
      </c>
      <c r="AA533" s="174">
        <f t="shared" si="278"/>
        <v>77625</v>
      </c>
      <c r="AB533" s="174">
        <f t="shared" si="279"/>
        <v>6025640625</v>
      </c>
      <c r="AD533" s="701">
        <f t="shared" si="280"/>
        <v>26.990044285603712</v>
      </c>
      <c r="AE533" s="702">
        <f t="shared" si="281"/>
        <v>-22.293469044612852</v>
      </c>
      <c r="AG533" s="701">
        <f t="shared" si="282"/>
        <v>-7.9209069157504821</v>
      </c>
      <c r="AH533" s="702">
        <f t="shared" si="283"/>
        <v>-55.601664884799732</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5">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1.0537215649078275</v>
      </c>
      <c r="N534" s="694">
        <f t="shared" si="270"/>
        <v>-0.32069265199589897</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-10.720975837219012</v>
      </c>
      <c r="X534" s="699">
        <f t="shared" si="276"/>
        <v>-177.35502183571342</v>
      </c>
      <c r="Y534" s="702">
        <f t="shared" si="277"/>
        <v>2.6449781642865844</v>
      </c>
      <c r="AA534" s="174">
        <f t="shared" si="278"/>
        <v>78077</v>
      </c>
      <c r="AB534" s="174">
        <f t="shared" si="279"/>
        <v>6096017929</v>
      </c>
      <c r="AD534" s="701">
        <f t="shared" si="280"/>
        <v>26.983332704912939</v>
      </c>
      <c r="AE534" s="702">
        <f t="shared" si="281"/>
        <v>-22.400694740159814</v>
      </c>
      <c r="AG534" s="701">
        <f t="shared" si="282"/>
        <v>-7.945840903434509</v>
      </c>
      <c r="AH534" s="702">
        <f t="shared" si="283"/>
        <v>-55.458447625599021</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5">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1.0543292935854349</v>
      </c>
      <c r="N535" s="694">
        <f t="shared" si="270"/>
        <v>-0.32242349828692923</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-10.793198248803566</v>
      </c>
      <c r="X535" s="699">
        <f t="shared" si="276"/>
        <v>-177.78394140212052</v>
      </c>
      <c r="Y535" s="702">
        <f t="shared" si="277"/>
        <v>2.2160585978794813</v>
      </c>
      <c r="AA535" s="174">
        <f t="shared" si="278"/>
        <v>78529</v>
      </c>
      <c r="AB535" s="174">
        <f t="shared" si="279"/>
        <v>6166803841</v>
      </c>
      <c r="AD535" s="701">
        <f t="shared" si="280"/>
        <v>26.97659289478451</v>
      </c>
      <c r="AE535" s="702">
        <f t="shared" si="281"/>
        <v>-22.507811297048463</v>
      </c>
      <c r="AG535" s="701">
        <f t="shared" si="282"/>
        <v>-7.9704236942490194</v>
      </c>
      <c r="AH535" s="702">
        <f t="shared" si="283"/>
        <v>-55.315704304130712</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5">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1.0549401772084825</v>
      </c>
      <c r="N536" s="694">
        <f t="shared" si="270"/>
        <v>-0.32415234519190034</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-10.865173397933683</v>
      </c>
      <c r="X536" s="699">
        <f t="shared" si="276"/>
        <v>-178.21195086213726</v>
      </c>
      <c r="Y536" s="702">
        <f t="shared" si="277"/>
        <v>1.7880491378627426</v>
      </c>
      <c r="AA536" s="174">
        <f t="shared" si="278"/>
        <v>78981</v>
      </c>
      <c r="AB536" s="174">
        <f t="shared" si="279"/>
        <v>6237998361</v>
      </c>
      <c r="AD536" s="701">
        <f t="shared" si="280"/>
        <v>26.969824997571166</v>
      </c>
      <c r="AE536" s="702">
        <f t="shared" si="281"/>
        <v>-22.614817129764809</v>
      </c>
      <c r="AG536" s="701">
        <f t="shared" si="282"/>
        <v>-7.9946593866146385</v>
      </c>
      <c r="AH536" s="702">
        <f t="shared" si="283"/>
        <v>-55.1734327591615</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5">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1.0555542102993609</v>
      </c>
      <c r="N537" s="694">
        <f t="shared" si="270"/>
        <v>-0.32587918585640063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-10.93690384412244</v>
      </c>
      <c r="X537" s="699">
        <f t="shared" si="276"/>
        <v>-178.63905177550095</v>
      </c>
      <c r="Y537" s="702">
        <f t="shared" si="277"/>
        <v>1.3609482244990545</v>
      </c>
      <c r="AA537" s="174">
        <f t="shared" si="278"/>
        <v>79433</v>
      </c>
      <c r="AB537" s="174">
        <f t="shared" si="279"/>
        <v>6309601489</v>
      </c>
      <c r="AD537" s="701">
        <f t="shared" si="280"/>
        <v>26.963029155858283</v>
      </c>
      <c r="AE537" s="702">
        <f t="shared" si="281"/>
        <v>-22.721710685084041</v>
      </c>
      <c r="AG537" s="701">
        <f t="shared" si="282"/>
        <v>-8.0185520141822604</v>
      </c>
      <c r="AH537" s="702">
        <f t="shared" si="283"/>
        <v>-55.031630786435805</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5">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1.0561857617644315</v>
      </c>
      <c r="N538" s="694">
        <f t="shared" si="270"/>
        <v>-0.32764405740969904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-11.010049918720735</v>
      </c>
      <c r="X538" s="699">
        <f t="shared" si="276"/>
        <v>-179.07513550205661</v>
      </c>
      <c r="Y538" s="702">
        <f t="shared" si="277"/>
        <v>0.9248644979433891</v>
      </c>
      <c r="AA538" s="174">
        <f t="shared" si="278"/>
        <v>79895.5</v>
      </c>
      <c r="AB538" s="174">
        <f t="shared" si="279"/>
        <v>6383290920.25</v>
      </c>
      <c r="AD538" s="701">
        <f t="shared" si="280"/>
        <v>26.956046669336288</v>
      </c>
      <c r="AE538" s="702">
        <f t="shared" si="281"/>
        <v>-22.830969580025005</v>
      </c>
      <c r="AG538" s="701">
        <f t="shared" si="282"/>
        <v>-8.0426486991505435</v>
      </c>
      <c r="AH538" s="702">
        <f t="shared" si="283"/>
        <v>-54.887018459497234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5">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1.0568205990690294</v>
      </c>
      <c r="N539" s="694">
        <f t="shared" si="270"/>
        <v>-0.3294068141141448</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-11.082945058484553</v>
      </c>
      <c r="X539" s="699">
        <f t="shared" si="276"/>
        <v>-179.51027141912454</v>
      </c>
      <c r="Y539" s="702">
        <f t="shared" si="277"/>
        <v>0.48972858087546456</v>
      </c>
      <c r="AA539" s="174">
        <f t="shared" si="278"/>
        <v>80358</v>
      </c>
      <c r="AB539" s="174">
        <f t="shared" si="279"/>
        <v>6457408164</v>
      </c>
      <c r="AD539" s="701">
        <f t="shared" si="280"/>
        <v>26.949035227656548</v>
      </c>
      <c r="AE539" s="702">
        <f t="shared" si="281"/>
        <v>-22.94010773069839</v>
      </c>
      <c r="AG539" s="701">
        <f t="shared" si="282"/>
        <v>-8.0663945378530233</v>
      </c>
      <c r="AH539" s="702">
        <f t="shared" si="283"/>
        <v>-54.742892972943025</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5">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1.0574587162952687</v>
      </c>
      <c r="N540" s="694">
        <f t="shared" si="270"/>
        <v>-0.33116744883366667</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-11.155591853251959</v>
      </c>
      <c r="X540" s="699">
        <f t="shared" si="276"/>
        <v>-179.94446133224275</v>
      </c>
      <c r="Y540" s="702">
        <f t="shared" si="277"/>
        <v>5.553866775724714E-2</v>
      </c>
      <c r="AA540" s="174">
        <f t="shared" si="278"/>
        <v>80820.5</v>
      </c>
      <c r="AB540" s="174">
        <f t="shared" si="279"/>
        <v>6531953220.25</v>
      </c>
      <c r="AD540" s="701">
        <f t="shared" si="280"/>
        <v>26.941994984240409</v>
      </c>
      <c r="AE540" s="702">
        <f t="shared" si="281"/>
        <v>-23.049123573346261</v>
      </c>
      <c r="AG540" s="701">
        <f t="shared" si="282"/>
        <v>-8.0897936494958707</v>
      </c>
      <c r="AH540" s="702">
        <f t="shared" si="283"/>
        <v>-54.599251833874007</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5">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1.0581001075090004</v>
      </c>
      <c r="N541" s="694">
        <f t="shared" si="270"/>
        <v>-0.33292595450198542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-11.22799284419626</v>
      </c>
      <c r="X541" s="699">
        <f t="shared" si="276"/>
        <v>-180.37770709032321</v>
      </c>
      <c r="Y541" s="702">
        <f t="shared" si="277"/>
        <v>-0.37770709032321292</v>
      </c>
      <c r="AA541" s="174">
        <f t="shared" si="278"/>
        <v>81283</v>
      </c>
      <c r="AB541" s="174">
        <f t="shared" si="279"/>
        <v>6606926089</v>
      </c>
      <c r="AD541" s="701">
        <f t="shared" si="280"/>
        <v>26.934926092704558</v>
      </c>
      <c r="AE541" s="702">
        <f t="shared" si="281"/>
        <v>-23.158015576492154</v>
      </c>
      <c r="AG541" s="701">
        <f t="shared" si="282"/>
        <v>-8.1128500878684591</v>
      </c>
      <c r="AH541" s="702">
        <f t="shared" si="283"/>
        <v>-54.456092507828153</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5">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1.0587597895466798</v>
      </c>
      <c r="N542" s="694">
        <f t="shared" si="270"/>
        <v>-0.33472312239186147</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-11.301824829968973</v>
      </c>
      <c r="X542" s="699">
        <f t="shared" si="276"/>
        <v>-180.82004753020811</v>
      </c>
      <c r="Y542" s="702">
        <f t="shared" si="277"/>
        <v>-0.82004753020811449</v>
      </c>
      <c r="AA542" s="174">
        <f t="shared" si="278"/>
        <v>81756.25</v>
      </c>
      <c r="AB542" s="174">
        <f t="shared" si="279"/>
        <v>6684084414.0625</v>
      </c>
      <c r="AD542" s="701">
        <f t="shared" si="280"/>
        <v>26.927663402968022</v>
      </c>
      <c r="AE542" s="702">
        <f t="shared" si="281"/>
        <v>-23.269308827891763</v>
      </c>
      <c r="AG542" s="701">
        <f t="shared" si="282"/>
        <v>-8.1360918810387197</v>
      </c>
      <c r="AH542" s="702">
        <f t="shared" si="283"/>
        <v>-54.310101750225492</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5">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1.0594228869148126</v>
      </c>
      <c r="N543" s="694">
        <f t="shared" si="270"/>
        <v>-0.33651804636265897</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-11.375404685182058</v>
      </c>
      <c r="X543" s="699">
        <f t="shared" si="276"/>
        <v>-181.26140346612073</v>
      </c>
      <c r="Y543" s="702">
        <f t="shared" si="277"/>
        <v>-1.2614034661207256</v>
      </c>
      <c r="AA543" s="174">
        <f t="shared" si="278"/>
        <v>82229.5</v>
      </c>
      <c r="AB543" s="174">
        <f t="shared" si="279"/>
        <v>6761690670.25</v>
      </c>
      <c r="AD543" s="701">
        <f t="shared" si="280"/>
        <v>26.920371043869086</v>
      </c>
      <c r="AE543" s="702">
        <f t="shared" si="281"/>
        <v>-23.380469272165239</v>
      </c>
      <c r="AG543" s="701">
        <f t="shared" si="282"/>
        <v>-8.1589832695343052</v>
      </c>
      <c r="AH543" s="702">
        <f t="shared" si="283"/>
        <v>-54.164609967215199</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5">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1.0600893932044202</v>
      </c>
      <c r="N544" s="694">
        <f t="shared" si="270"/>
        <v>-0.33831071907044952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-11.448734982333487</v>
      </c>
      <c r="X544" s="699">
        <f t="shared" si="276"/>
        <v>-181.70177701359989</v>
      </c>
      <c r="Y544" s="702">
        <f t="shared" si="277"/>
        <v>-1.7017770135998944</v>
      </c>
      <c r="AA544" s="174">
        <f t="shared" si="278"/>
        <v>82702.75</v>
      </c>
      <c r="AB544" s="174">
        <f t="shared" si="279"/>
        <v>6839744857.5625</v>
      </c>
      <c r="AD544" s="701">
        <f t="shared" si="280"/>
        <v>26.91304918052915</v>
      </c>
      <c r="AE544" s="702">
        <f t="shared" si="281"/>
        <v>-23.491495368848419</v>
      </c>
      <c r="AG544" s="701">
        <f t="shared" si="282"/>
        <v>-8.1815283922400592</v>
      </c>
      <c r="AH544" s="702">
        <f t="shared" si="283"/>
        <v>-54.01961431696148</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5">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1.0607593019897261</v>
      </c>
      <c r="N545" s="694">
        <f t="shared" si="270"/>
        <v>-0.34010113324759311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-11.521818245980702</v>
      </c>
      <c r="X545" s="699">
        <f t="shared" si="276"/>
        <v>-182.14117033150802</v>
      </c>
      <c r="Y545" s="702">
        <f t="shared" si="277"/>
        <v>-2.1411703315080217</v>
      </c>
      <c r="AA545" s="174">
        <f t="shared" si="278"/>
        <v>83176</v>
      </c>
      <c r="AB545" s="174">
        <f t="shared" si="279"/>
        <v>6918246976</v>
      </c>
      <c r="AD545" s="701">
        <f t="shared" si="280"/>
        <v>26.905697978221941</v>
      </c>
      <c r="AE545" s="702">
        <f t="shared" si="281"/>
        <v>-23.602385609802393</v>
      </c>
      <c r="AG545" s="701">
        <f t="shared" si="282"/>
        <v>-8.2037313219444368</v>
      </c>
      <c r="AH545" s="702">
        <f t="shared" si="283"/>
        <v>-53.875111917784686</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5">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1.0614486537618908</v>
      </c>
      <c r="N546" s="694">
        <f t="shared" si="270"/>
        <v>-0.34193176156480476</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-11.596385504732513</v>
      </c>
      <c r="X546" s="699">
        <f t="shared" si="276"/>
        <v>-182.58999565480232</v>
      </c>
      <c r="Y546" s="702">
        <f t="shared" si="277"/>
        <v>-2.5899956548023226</v>
      </c>
      <c r="AA546" s="174">
        <f t="shared" si="278"/>
        <v>83660.5</v>
      </c>
      <c r="AB546" s="174">
        <f t="shared" si="279"/>
        <v>6999079260.25</v>
      </c>
      <c r="AD546" s="701">
        <f t="shared" si="280"/>
        <v>26.898141803969299</v>
      </c>
      <c r="AE546" s="702">
        <f t="shared" si="281"/>
        <v>-23.715769630428877</v>
      </c>
      <c r="AG546" s="701">
        <f t="shared" si="282"/>
        <v>-8.2261117481247137</v>
      </c>
      <c r="AH546" s="702">
        <f t="shared" si="283"/>
        <v>-53.727682367124153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5">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1.0621415580365761</v>
      </c>
      <c r="N547" s="694">
        <f t="shared" si="270"/>
        <v>-0.34376000752548119</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-11.67069905192584</v>
      </c>
      <c r="X547" s="699">
        <f t="shared" si="276"/>
        <v>-183.03779830494199</v>
      </c>
      <c r="Y547" s="702">
        <f t="shared" si="277"/>
        <v>-3.0377983049419868</v>
      </c>
      <c r="AA547" s="174">
        <f t="shared" si="278"/>
        <v>84145</v>
      </c>
      <c r="AB547" s="174">
        <f t="shared" si="279"/>
        <v>7080381025</v>
      </c>
      <c r="AD547" s="701">
        <f t="shared" si="280"/>
        <v>26.890555230283123</v>
      </c>
      <c r="AE547" s="702">
        <f t="shared" si="281"/>
        <v>-23.829008161268778</v>
      </c>
      <c r="AG547" s="701">
        <f t="shared" si="282"/>
        <v>-8.2481419512194751</v>
      </c>
      <c r="AH547" s="702">
        <f t="shared" si="283"/>
        <v>-53.580763562672011</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5">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1.06283800786575</v>
      </c>
      <c r="N548" s="694">
        <f t="shared" si="270"/>
        <v>-0.34558586357929127</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-11.744761448479036</v>
      </c>
      <c r="X548" s="699">
        <f t="shared" si="276"/>
        <v>-183.48458073292022</v>
      </c>
      <c r="Y548" s="702">
        <f t="shared" si="277"/>
        <v>-3.4845807329202216</v>
      </c>
      <c r="AA548" s="174">
        <f t="shared" si="278"/>
        <v>84629.5</v>
      </c>
      <c r="AB548" s="174">
        <f t="shared" si="279"/>
        <v>7162152270.25</v>
      </c>
      <c r="AD548" s="701">
        <f t="shared" si="280"/>
        <v>26.88293843490554</v>
      </c>
      <c r="AE548" s="702">
        <f t="shared" si="281"/>
        <v>-23.94209968474993</v>
      </c>
      <c r="AG548" s="701">
        <f t="shared" si="282"/>
        <v>-8.2698260947073621</v>
      </c>
      <c r="AH548" s="702">
        <f t="shared" si="283"/>
        <v>-53.434352291353804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5">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1.0635379962840741</v>
      </c>
      <c r="N549" s="694">
        <f t="shared" si="270"/>
        <v>-0.34740932225936894</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-11.818575208027024</v>
      </c>
      <c r="X549" s="699">
        <f t="shared" si="276"/>
        <v>-183.93034543290253</v>
      </c>
      <c r="Y549" s="702">
        <f t="shared" si="277"/>
        <v>-3.9303454329025271</v>
      </c>
      <c r="AA549" s="174">
        <f t="shared" si="278"/>
        <v>85114</v>
      </c>
      <c r="AB549" s="174">
        <f t="shared" si="279"/>
        <v>7244392996</v>
      </c>
      <c r="AD549" s="701">
        <f t="shared" si="280"/>
        <v>26.875291595681674</v>
      </c>
      <c r="AE549" s="702">
        <f t="shared" si="281"/>
        <v>-24.055042715785369</v>
      </c>
      <c r="AG549" s="701">
        <f t="shared" si="282"/>
        <v>-8.2911682751262994</v>
      </c>
      <c r="AH549" s="702">
        <f t="shared" si="283"/>
        <v>-53.28844530217058</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5">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1.0642575298459922</v>
      </c>
      <c r="N550" s="694">
        <f t="shared" si="270"/>
        <v>-0.34927169308404771</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-11.893810224496965</v>
      </c>
      <c r="X550" s="699">
        <f t="shared" si="276"/>
        <v>-184.38518068730141</v>
      </c>
      <c r="Y550" s="702">
        <f t="shared" si="277"/>
        <v>-4.3851806873014141</v>
      </c>
      <c r="AA550" s="174">
        <f t="shared" si="278"/>
        <v>85609.5</v>
      </c>
      <c r="AB550" s="174">
        <f t="shared" si="279"/>
        <v>7328986490.25</v>
      </c>
      <c r="AD550" s="701">
        <f t="shared" si="280"/>
        <v>26.867440254685672</v>
      </c>
      <c r="AE550" s="702">
        <f t="shared" si="281"/>
        <v>-24.170394882781693</v>
      </c>
      <c r="AG550" s="701">
        <f t="shared" si="282"/>
        <v>-8.312645507951741</v>
      </c>
      <c r="AH550" s="702">
        <f t="shared" si="283"/>
        <v>-53.139743826723269</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5">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1.0649807497100583</v>
      </c>
      <c r="N551" s="694">
        <f t="shared" si="270"/>
        <v>-0.35113154091008197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-11.968790357608912</v>
      </c>
      <c r="X551" s="699">
        <f t="shared" si="276"/>
        <v>-184.83895688676589</v>
      </c>
      <c r="Y551" s="702">
        <f t="shared" si="277"/>
        <v>-4.8389568867658852</v>
      </c>
      <c r="AA551" s="174">
        <f t="shared" si="278"/>
        <v>86105</v>
      </c>
      <c r="AB551" s="174">
        <f t="shared" si="279"/>
        <v>7414071025</v>
      </c>
      <c r="AD551" s="701">
        <f t="shared" si="280"/>
        <v>26.859557866647904</v>
      </c>
      <c r="AE551" s="702">
        <f t="shared" si="281"/>
        <v>-24.285588697248553</v>
      </c>
      <c r="AG551" s="701">
        <f t="shared" si="282"/>
        <v>-8.3337735317270738</v>
      </c>
      <c r="AH551" s="702">
        <f t="shared" si="283"/>
        <v>-52.991562798352327</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5">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1.0657076483713801</v>
      </c>
      <c r="N552" s="694">
        <f t="shared" si="270"/>
        <v>-0.35298885802059177</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-12.043518150753984</v>
      </c>
      <c r="X552" s="699">
        <f t="shared" si="276"/>
        <v>-185.29167683243909</v>
      </c>
      <c r="Y552" s="702">
        <f t="shared" si="277"/>
        <v>-5.2916768324390944</v>
      </c>
      <c r="AA552" s="174">
        <f t="shared" si="278"/>
        <v>86600.5</v>
      </c>
      <c r="AB552" s="174">
        <f t="shared" si="279"/>
        <v>7499646600.25</v>
      </c>
      <c r="AD552" s="701">
        <f t="shared" si="280"/>
        <v>26.851644622037661</v>
      </c>
      <c r="AE552" s="702">
        <f t="shared" si="281"/>
        <v>-24.400622671535956</v>
      </c>
      <c r="AG552" s="701">
        <f t="shared" si="282"/>
        <v>-8.3545565197659819</v>
      </c>
      <c r="AH552" s="702">
        <f t="shared" si="283"/>
        <v>-52.843898625448112</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5">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1.0664382183074042</v>
      </c>
      <c r="N553" s="694">
        <f t="shared" si="270"/>
        <v>-0.35484363678952335</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-12.117996100922477</v>
      </c>
      <c r="X553" s="699">
        <f t="shared" si="276"/>
        <v>-185.74334336810418</v>
      </c>
      <c r="Y553" s="702">
        <f t="shared" si="277"/>
        <v>-5.7433433681041777</v>
      </c>
      <c r="AA553" s="174">
        <f t="shared" si="278"/>
        <v>87096</v>
      </c>
      <c r="AB553" s="174">
        <f t="shared" si="279"/>
        <v>7585713216</v>
      </c>
      <c r="AD553" s="701">
        <f t="shared" si="280"/>
        <v>26.843700711370076</v>
      </c>
      <c r="AE553" s="702">
        <f t="shared" si="281"/>
        <v>-24.515495350553444</v>
      </c>
      <c r="AG553" s="701">
        <f t="shared" si="282"/>
        <v>-8.3749985778489719</v>
      </c>
      <c r="AH553" s="702">
        <f t="shared" si="283"/>
        <v>-52.696747680846407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5">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1.067189907578336</v>
      </c>
      <c r="N554" s="694">
        <f t="shared" si="270"/>
        <v>-0.35673976149680486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-12.19398393743047</v>
      </c>
      <c r="X554" s="699">
        <f t="shared" si="276"/>
        <v>-186.20463229890024</v>
      </c>
      <c r="Y554" s="702">
        <f t="shared" si="277"/>
        <v>-6.2046322989002363</v>
      </c>
      <c r="AA554" s="174">
        <f t="shared" si="278"/>
        <v>87603.25</v>
      </c>
      <c r="AB554" s="174">
        <f t="shared" si="279"/>
        <v>7674329410.5625</v>
      </c>
      <c r="AD554" s="701">
        <f t="shared" si="280"/>
        <v>26.835536856867396</v>
      </c>
      <c r="AE554" s="702">
        <f t="shared" si="281"/>
        <v>-24.632923490121538</v>
      </c>
      <c r="AG554" s="701">
        <f t="shared" si="282"/>
        <v>-8.3955764514120794</v>
      </c>
      <c r="AH554" s="702">
        <f t="shared" si="283"/>
        <v>-52.546635089422878</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5">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1.0679454282960061</v>
      </c>
      <c r="N555" s="694">
        <f t="shared" si="270"/>
        <v>-0.35863321016705263</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-12.269715093253792</v>
      </c>
      <c r="X555" s="699">
        <f t="shared" si="276"/>
        <v>-186.66482343075123</v>
      </c>
      <c r="Y555" s="702">
        <f t="shared" si="277"/>
        <v>-6.6648234307512269</v>
      </c>
      <c r="AA555" s="174">
        <f t="shared" si="278"/>
        <v>88110.5</v>
      </c>
      <c r="AB555" s="174">
        <f t="shared" si="279"/>
        <v>7763460210.25</v>
      </c>
      <c r="AD555" s="701">
        <f t="shared" si="280"/>
        <v>26.827341268797067</v>
      </c>
      <c r="AE555" s="702">
        <f t="shared" si="281"/>
        <v>-24.750179609555975</v>
      </c>
      <c r="AG555" s="701">
        <f t="shared" si="282"/>
        <v>-8.4158055306838957</v>
      </c>
      <c r="AH555" s="702">
        <f t="shared" si="283"/>
        <v>-52.397052554993465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5">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1.0687047723344918</v>
      </c>
      <c r="N556" s="694">
        <f t="shared" si="270"/>
        <v>-0.36052397491358928</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-12.345192104177762</v>
      </c>
      <c r="X556" s="699">
        <f t="shared" si="276"/>
        <v>-187.12391994627225</v>
      </c>
      <c r="Y556" s="702">
        <f t="shared" si="277"/>
        <v>-7.1239199462722524</v>
      </c>
      <c r="AA556" s="174">
        <f t="shared" si="278"/>
        <v>88617.75</v>
      </c>
      <c r="AB556" s="174">
        <f t="shared" si="279"/>
        <v>7853105615.0625</v>
      </c>
      <c r="AD556" s="701">
        <f t="shared" si="280"/>
        <v>26.819114151596146</v>
      </c>
      <c r="AE556" s="702">
        <f t="shared" si="281"/>
        <v>-24.867262249336424</v>
      </c>
      <c r="AG556" s="701">
        <f t="shared" si="282"/>
        <v>-8.4356900092791971</v>
      </c>
      <c r="AH556" s="702">
        <f t="shared" si="283"/>
        <v>-52.247996079513463</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5">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1.0694679315498861</v>
      </c>
      <c r="N557" s="694">
        <f t="shared" si="270"/>
        <v>-0.3624120479488393</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-12.420417460313031</v>
      </c>
      <c r="X557" s="699">
        <f t="shared" si="276"/>
        <v>-187.58192507014036</v>
      </c>
      <c r="Y557" s="702">
        <f t="shared" si="277"/>
        <v>-7.5819250701403575</v>
      </c>
      <c r="AA557" s="174">
        <f t="shared" si="278"/>
        <v>89125</v>
      </c>
      <c r="AB557" s="174">
        <f t="shared" si="279"/>
        <v>7943265625</v>
      </c>
      <c r="AD557" s="701">
        <f t="shared" si="280"/>
        <v>26.810855709682386</v>
      </c>
      <c r="AE557" s="702">
        <f t="shared" si="281"/>
        <v>-24.984169982754462</v>
      </c>
      <c r="AG557" s="701">
        <f t="shared" si="282"/>
        <v>-8.4552340123941452</v>
      </c>
      <c r="AH557" s="702">
        <f t="shared" si="283"/>
        <v>-52.099461631919937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5">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1.0702527089277822</v>
      </c>
      <c r="N558" s="694">
        <f t="shared" si="270"/>
        <v>-0.36434106255608484</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-12.497127429885516</v>
      </c>
      <c r="X558" s="699">
        <f t="shared" si="276"/>
        <v>-188.04941327989823</v>
      </c>
      <c r="Y558" s="702">
        <f t="shared" si="277"/>
        <v>-8.0494132798982321</v>
      </c>
      <c r="AA558" s="174">
        <f t="shared" si="278"/>
        <v>89644</v>
      </c>
      <c r="AB558" s="174">
        <f t="shared" si="279"/>
        <v>8036046736</v>
      </c>
      <c r="AD558" s="701">
        <f t="shared" si="280"/>
        <v>26.802373759867013</v>
      </c>
      <c r="AE558" s="702">
        <f t="shared" si="281"/>
        <v>-25.103603295982019</v>
      </c>
      <c r="AG558" s="701">
        <f t="shared" si="282"/>
        <v>-8.4748825703643043</v>
      </c>
      <c r="AH558" s="702">
        <f t="shared" si="283"/>
        <v>-51.948022583381913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5">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1.0710414629754001</v>
      </c>
      <c r="N559" s="694">
        <f t="shared" si="270"/>
        <v>-0.36626724312845277</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-12.573579083784098</v>
      </c>
      <c r="X559" s="699">
        <f t="shared" si="276"/>
        <v>-188.51576590985547</v>
      </c>
      <c r="Y559" s="702">
        <f t="shared" si="277"/>
        <v>-8.5157659098554745</v>
      </c>
      <c r="AA559" s="174">
        <f t="shared" si="278"/>
        <v>90163</v>
      </c>
      <c r="AB559" s="174">
        <f t="shared" si="279"/>
        <v>8129366569</v>
      </c>
      <c r="AD559" s="701">
        <f t="shared" si="280"/>
        <v>26.793859450130494</v>
      </c>
      <c r="AE559" s="702">
        <f t="shared" si="281"/>
        <v>-25.222850586391669</v>
      </c>
      <c r="AG559" s="701">
        <f t="shared" si="282"/>
        <v>-8.4941832201117133</v>
      </c>
      <c r="AH559" s="702">
        <f t="shared" si="283"/>
        <v>-51.797121390037347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5">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1.0718341849135438</v>
      </c>
      <c r="N560" s="694">
        <f t="shared" si="270"/>
        <v>-0.36819058164547169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-12.649774948682479</v>
      </c>
      <c r="X560" s="699">
        <f t="shared" si="276"/>
        <v>-188.98098654331596</v>
      </c>
      <c r="Y560" s="702">
        <f t="shared" si="277"/>
        <v>-8.9809865433159644</v>
      </c>
      <c r="AA560" s="174">
        <f t="shared" si="278"/>
        <v>90682</v>
      </c>
      <c r="AB560" s="174">
        <f t="shared" si="279"/>
        <v>8223225124</v>
      </c>
      <c r="AD560" s="701">
        <f t="shared" si="280"/>
        <v>26.785312999255879</v>
      </c>
      <c r="AE560" s="702">
        <f t="shared" si="281"/>
        <v>-25.341910428042727</v>
      </c>
      <c r="AG560" s="701">
        <f t="shared" si="282"/>
        <v>-8.5131401665704036</v>
      </c>
      <c r="AH560" s="702">
        <f t="shared" si="283"/>
        <v>-51.646753636050811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5">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1.07263086594487</v>
      </c>
      <c r="N561" s="694">
        <f t="shared" si="270"/>
        <v>-0.37011107019442763</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-12.725717506431685</v>
      </c>
      <c r="X561" s="699">
        <f t="shared" si="276"/>
        <v>-189.44507880475493</v>
      </c>
      <c r="Y561" s="702">
        <f t="shared" si="277"/>
        <v>-9.4450788047549281</v>
      </c>
      <c r="AA561" s="174">
        <f t="shared" si="278"/>
        <v>91201</v>
      </c>
      <c r="AB561" s="174">
        <f t="shared" si="279"/>
        <v>8317622401</v>
      </c>
      <c r="AD561" s="701">
        <f t="shared" si="280"/>
        <v>26.776734625932505</v>
      </c>
      <c r="AE561" s="702">
        <f t="shared" si="281"/>
        <v>-25.460781428036761</v>
      </c>
      <c r="AG561" s="701">
        <f t="shared" si="282"/>
        <v>-8.5317575454922299</v>
      </c>
      <c r="AH561" s="702">
        <f t="shared" si="283"/>
        <v>-51.496914875497424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5">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1.0734500556143001</v>
      </c>
      <c r="N562" s="694">
        <f t="shared" si="270"/>
        <v>-0.37207300539062838</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-12.8031563440511</v>
      </c>
      <c r="X562" s="699">
        <f t="shared" si="276"/>
        <v>-189.91873753718306</v>
      </c>
      <c r="Y562" s="702">
        <f t="shared" si="277"/>
        <v>-9.9187375371830626</v>
      </c>
      <c r="AA562" s="174">
        <f t="shared" si="278"/>
        <v>91732</v>
      </c>
      <c r="AB562" s="174">
        <f t="shared" si="279"/>
        <v>8414759824</v>
      </c>
      <c r="AD562" s="701">
        <f t="shared" si="280"/>
        <v>26.767925098558717</v>
      </c>
      <c r="AE562" s="702">
        <f t="shared" si="281"/>
        <v>-25.582204030153409</v>
      </c>
      <c r="AG562" s="701">
        <f t="shared" si="282"/>
        <v>-8.5504581909902608</v>
      </c>
      <c r="AH562" s="702">
        <f t="shared" si="283"/>
        <v>-51.344154449543232</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5">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1.0742733708857735</v>
      </c>
      <c r="N563" s="694">
        <f t="shared" si="270"/>
        <v>-0.37403194089190417</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-12.880335142995119</v>
      </c>
      <c r="X563" s="699">
        <f t="shared" si="276"/>
        <v>-190.39122291797705</v>
      </c>
      <c r="Y563" s="702">
        <f t="shared" si="277"/>
        <v>-10.391222917977046</v>
      </c>
      <c r="AA563" s="174">
        <f t="shared" si="278"/>
        <v>92263</v>
      </c>
      <c r="AB563" s="174">
        <f t="shared" si="279"/>
        <v>8512461169</v>
      </c>
      <c r="AD563" s="701">
        <f t="shared" si="280"/>
        <v>26.759082618243497</v>
      </c>
      <c r="AE563" s="702">
        <f t="shared" si="281"/>
        <v>-25.703426110266367</v>
      </c>
      <c r="AG563" s="701">
        <f t="shared" si="282"/>
        <v>-8.5688119275202439</v>
      </c>
      <c r="AH563" s="702">
        <f t="shared" si="283"/>
        <v>-51.191938256275563</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5">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1.0751008022810968</v>
      </c>
      <c r="N564" s="694">
        <f t="shared" si="270"/>
        <v>-0.37598786857254662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-12.9572564234597</v>
      </c>
      <c r="X564" s="699">
        <f t="shared" si="276"/>
        <v>-190.86253895505195</v>
      </c>
      <c r="Y564" s="702">
        <f t="shared" si="277"/>
        <v>-10.862538955051946</v>
      </c>
      <c r="AA564" s="174">
        <f t="shared" si="278"/>
        <v>92794</v>
      </c>
      <c r="AB564" s="174">
        <f t="shared" si="279"/>
        <v>8610726436</v>
      </c>
      <c r="AD564" s="701">
        <f t="shared" si="280"/>
        <v>26.750207418780757</v>
      </c>
      <c r="AE564" s="702">
        <f t="shared" si="281"/>
        <v>-25.824446279610026</v>
      </c>
      <c r="AG564" s="701">
        <f t="shared" si="282"/>
        <v>-8.5868229683911927</v>
      </c>
      <c r="AH564" s="702">
        <f t="shared" si="283"/>
        <v>-51.040261445694348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5">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1.07593234030392</v>
      </c>
      <c r="N565" s="694">
        <f t="shared" si="270"/>
        <v>-0.37794078042383522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-13.033922661700529</v>
      </c>
      <c r="X565" s="699">
        <f t="shared" si="276"/>
        <v>-191.3326896963699</v>
      </c>
      <c r="Y565" s="702">
        <f t="shared" si="277"/>
        <v>-11.332689696369897</v>
      </c>
      <c r="AA565" s="174">
        <f t="shared" si="278"/>
        <v>93325</v>
      </c>
      <c r="AB565" s="174">
        <f t="shared" si="279"/>
        <v>8709555625</v>
      </c>
      <c r="AD565" s="701">
        <f t="shared" si="280"/>
        <v>26.7412997337862</v>
      </c>
      <c r="AE565" s="702">
        <f t="shared" si="281"/>
        <v>-25.945263182733125</v>
      </c>
      <c r="AG565" s="701">
        <f t="shared" si="282"/>
        <v>-8.6044954569546466</v>
      </c>
      <c r="AH565" s="702">
        <f t="shared" si="283"/>
        <v>-50.889119140965988</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5">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1.0767876959822644</v>
      </c>
      <c r="N566" s="694">
        <f t="shared" si="270"/>
        <v>-0.37993653338390654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-13.112132081756805</v>
      </c>
      <c r="X566" s="699">
        <f t="shared" si="276"/>
        <v>-191.81270551594204</v>
      </c>
      <c r="Y566" s="702">
        <f t="shared" si="277"/>
        <v>-11.812705515942042</v>
      </c>
      <c r="AA566" s="174">
        <f t="shared" si="278"/>
        <v>93868.5</v>
      </c>
      <c r="AB566" s="174">
        <f t="shared" si="279"/>
        <v>8811295292.25</v>
      </c>
      <c r="AD566" s="701">
        <f t="shared" si="280"/>
        <v>26.732148959526153</v>
      </c>
      <c r="AE566" s="702">
        <f t="shared" si="281"/>
        <v>-26.068712294449778</v>
      </c>
      <c r="AG566" s="701">
        <f t="shared" si="282"/>
        <v>-8.6222376163964505</v>
      </c>
      <c r="AH566" s="702">
        <f t="shared" si="283"/>
        <v>-50.734967283461131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5">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1.0776473337198389</v>
      </c>
      <c r="N567" s="694">
        <f t="shared" si="270"/>
        <v>-0.38192911025137999</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-13.190079424277554</v>
      </c>
      <c r="X567" s="699">
        <f t="shared" si="276"/>
        <v>-192.29150923546459</v>
      </c>
      <c r="Y567" s="702">
        <f t="shared" si="277"/>
        <v>-12.291509235464588</v>
      </c>
      <c r="AA567" s="174">
        <f t="shared" si="278"/>
        <v>94412</v>
      </c>
      <c r="AB567" s="174">
        <f t="shared" si="279"/>
        <v>8913625744</v>
      </c>
      <c r="AD567" s="701">
        <f t="shared" si="280"/>
        <v>26.722964646881067</v>
      </c>
      <c r="AE567" s="702">
        <f t="shared" si="281"/>
        <v>-26.191945687875471</v>
      </c>
      <c r="AG567" s="701">
        <f t="shared" si="282"/>
        <v>-8.6396336616020584</v>
      </c>
      <c r="AH567" s="702">
        <f t="shared" si="283"/>
        <v>-50.581364974595758</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5">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1.0785112432774744</v>
      </c>
      <c r="N568" s="694">
        <f t="shared" si="270"/>
        <v>-0.38391850281732098</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-13.267767209308873</v>
      </c>
      <c r="X568" s="699">
        <f t="shared" si="276"/>
        <v>-192.76910531805939</v>
      </c>
      <c r="Y568" s="702">
        <f t="shared" si="277"/>
        <v>-12.769105318059388</v>
      </c>
      <c r="AA568" s="174">
        <f t="shared" si="278"/>
        <v>94955.5</v>
      </c>
      <c r="AB568" s="174">
        <f t="shared" si="279"/>
        <v>9016546980.25</v>
      </c>
      <c r="AD568" s="701">
        <f t="shared" si="280"/>
        <v>26.713747045658103</v>
      </c>
      <c r="AE568" s="702">
        <f t="shared" si="281"/>
        <v>-26.314962013629163</v>
      </c>
      <c r="AG568" s="701">
        <f t="shared" si="282"/>
        <v>-8.6566878167190904</v>
      </c>
      <c r="AH568" s="702">
        <f t="shared" si="283"/>
        <v>-50.428306906954539</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5">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1.0793794143979818</v>
      </c>
      <c r="N569" s="694">
        <f t="shared" si="270"/>
        <v>-0.38590470299982982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-13.345197913791733</v>
      </c>
      <c r="X569" s="699">
        <f t="shared" si="276"/>
        <v>-193.24549826560531</v>
      </c>
      <c r="Y569" s="702">
        <f t="shared" si="277"/>
        <v>-13.245498265605306</v>
      </c>
      <c r="AA569" s="174">
        <f t="shared" si="278"/>
        <v>95499</v>
      </c>
      <c r="AB569" s="174">
        <f t="shared" si="279"/>
        <v>9120059001</v>
      </c>
      <c r="AD569" s="701">
        <f t="shared" si="280"/>
        <v>26.704496405390159</v>
      </c>
      <c r="AE569" s="702">
        <f t="shared" si="281"/>
        <v>-26.43775995601623</v>
      </c>
      <c r="AG569" s="701">
        <f t="shared" si="282"/>
        <v>-8.6734042350244795</v>
      </c>
      <c r="AH569" s="702">
        <f t="shared" si="283"/>
        <v>-50.27578774983197</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5">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1.0811697355983199</v>
      </c>
      <c r="N570" s="694">
        <f t="shared" si="270"/>
        <v>-0.38996030370856827</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-13.502900745575367</v>
      </c>
      <c r="X570" s="699">
        <f t="shared" si="276"/>
        <v>-194.21690290778409</v>
      </c>
      <c r="Y570" s="702">
        <f t="shared" si="277"/>
        <v>-14.216902907784089</v>
      </c>
      <c r="AA570" s="174">
        <f t="shared" si="278"/>
        <v>96611.5</v>
      </c>
      <c r="AB570" s="174">
        <f t="shared" si="279"/>
        <v>9333781932.25</v>
      </c>
      <c r="AD570" s="701">
        <f t="shared" si="280"/>
        <v>26.685459121465051</v>
      </c>
      <c r="AE570" s="702">
        <f t="shared" si="281"/>
        <v>-26.688430923819713</v>
      </c>
      <c r="AG570" s="701">
        <f t="shared" si="282"/>
        <v>-8.7065852815918774</v>
      </c>
      <c r="AH570" s="702">
        <f t="shared" si="283"/>
        <v>-49.965251520685563</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5">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1.0829777808012191</v>
      </c>
      <c r="N571" s="694">
        <f t="shared" si="270"/>
        <v>-0.39400242896360194</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-13.659556958219358</v>
      </c>
      <c r="X571" s="699">
        <f t="shared" si="276"/>
        <v>-195.18332502356239</v>
      </c>
      <c r="Y571" s="702">
        <f t="shared" si="277"/>
        <v>-15.183325023562389</v>
      </c>
      <c r="AA571" s="174">
        <f t="shared" si="278"/>
        <v>97724</v>
      </c>
      <c r="AB571" s="174">
        <f t="shared" si="279"/>
        <v>9549980176</v>
      </c>
      <c r="AD571" s="701">
        <f t="shared" si="280"/>
        <v>26.666286585408393</v>
      </c>
      <c r="AE571" s="702">
        <f t="shared" si="281"/>
        <v>-26.938170972321526</v>
      </c>
      <c r="AG571" s="701">
        <f t="shared" si="282"/>
        <v>-8.7384024315469038</v>
      </c>
      <c r="AH571" s="702">
        <f t="shared" si="283"/>
        <v>-49.656904646463573</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5">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1.0848455144891864</v>
      </c>
      <c r="N572" s="694">
        <f t="shared" si="270"/>
        <v>-0.39812319577023453</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-13.8187415799762</v>
      </c>
      <c r="X572" s="699">
        <f t="shared" si="276"/>
        <v>-196.16678539115733</v>
      </c>
      <c r="Y572" s="702">
        <f t="shared" si="277"/>
        <v>-16.166785391157333</v>
      </c>
      <c r="AA572" s="174">
        <f t="shared" si="278"/>
        <v>98862</v>
      </c>
      <c r="AB572" s="174">
        <f t="shared" si="279"/>
        <v>9773695044</v>
      </c>
      <c r="AD572" s="701">
        <f t="shared" si="280"/>
        <v>26.646536868786399</v>
      </c>
      <c r="AE572" s="702">
        <f t="shared" si="281"/>
        <v>-27.192661768120008</v>
      </c>
      <c r="AG572" s="701">
        <f t="shared" si="282"/>
        <v>-8.7695721167139649</v>
      </c>
      <c r="AH572" s="702">
        <f t="shared" si="283"/>
        <v>-49.343706797909512</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5">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1.0867316061311321</v>
      </c>
      <c r="N573" s="694">
        <f t="shared" si="270"/>
        <v>-0.40222972840365107</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-13.976872022202379</v>
      </c>
      <c r="X573" s="699">
        <f t="shared" si="276"/>
        <v>-197.14511746057545</v>
      </c>
      <c r="Y573" s="702">
        <f t="shared" si="277"/>
        <v>-17.145117460575449</v>
      </c>
      <c r="AA573" s="174">
        <f t="shared" si="278"/>
        <v>100000</v>
      </c>
      <c r="AB573" s="174">
        <f t="shared" si="279"/>
        <v>10000000000</v>
      </c>
      <c r="AD573" s="701">
        <f t="shared" si="280"/>
        <v>26.62665012408587</v>
      </c>
      <c r="AE573" s="702">
        <f t="shared" si="281"/>
        <v>-27.446157804279956</v>
      </c>
      <c r="AG573" s="701">
        <f t="shared" si="282"/>
        <v>-8.7993833046409016</v>
      </c>
      <c r="AH573" s="702">
        <f t="shared" si="283"/>
        <v>-49.032701161001768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5">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1.0886813637065493</v>
      </c>
      <c r="N574" s="694">
        <f t="shared" si="270"/>
        <v>-0.40641888022659978</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-14.137682829012171</v>
      </c>
      <c r="X574" s="699">
        <f t="shared" si="276"/>
        <v>-198.14139493921942</v>
      </c>
      <c r="Y574" s="702">
        <f t="shared" si="277"/>
        <v>-18.141394939219424</v>
      </c>
      <c r="AA574" s="174">
        <f t="shared" si="278"/>
        <v>101165</v>
      </c>
      <c r="AB574" s="174">
        <f t="shared" si="279"/>
        <v>10234357225</v>
      </c>
      <c r="AD574" s="701">
        <f t="shared" si="280"/>
        <v>26.606151967583639</v>
      </c>
      <c r="AE574" s="702">
        <f t="shared" si="281"/>
        <v>-27.704627759026884</v>
      </c>
      <c r="AG574" s="701">
        <f t="shared" si="282"/>
        <v>-8.8285289658333621</v>
      </c>
      <c r="AH574" s="702">
        <f t="shared" si="283"/>
        <v>-48.716535013493491</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5">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1.0906501580393864</v>
      </c>
      <c r="N575" s="694">
        <f t="shared" si="270"/>
        <v>-0.41059298093140839</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-14.297429977056183</v>
      </c>
      <c r="X575" s="699">
        <f t="shared" si="276"/>
        <v>-199.13239172462306</v>
      </c>
      <c r="Y575" s="702">
        <f t="shared" si="277"/>
        <v>-19.132391724623062</v>
      </c>
      <c r="AA575" s="174">
        <f t="shared" si="278"/>
        <v>102330</v>
      </c>
      <c r="AB575" s="174">
        <f t="shared" si="279"/>
        <v>10471428900</v>
      </c>
      <c r="AD575" s="701">
        <f t="shared" si="280"/>
        <v>26.585514990620922</v>
      </c>
      <c r="AE575" s="702">
        <f t="shared" si="281"/>
        <v>-27.962035357591656</v>
      </c>
      <c r="AG575" s="701">
        <f t="shared" si="282"/>
        <v>-8.8563195896822364</v>
      </c>
      <c r="AH575" s="702">
        <f t="shared" si="283"/>
        <v>-48.40255949784185</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5">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1.092680748086589</v>
      </c>
      <c r="N576" s="694">
        <f t="shared" si="270"/>
        <v>-0.41484104933367583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-14.459527650026498</v>
      </c>
      <c r="X576" s="699">
        <f t="shared" si="276"/>
        <v>-200.13925285638356</v>
      </c>
      <c r="Y576" s="702">
        <f t="shared" si="277"/>
        <v>-20.139252856383564</v>
      </c>
      <c r="AA576" s="174">
        <f t="shared" si="278"/>
        <v>103520</v>
      </c>
      <c r="AB576" s="174">
        <f t="shared" si="279"/>
        <v>10716390400</v>
      </c>
      <c r="AD576" s="701">
        <f t="shared" si="280"/>
        <v>26.564294341545338</v>
      </c>
      <c r="AE576" s="702">
        <f t="shared" si="281"/>
        <v>-28.223860374764811</v>
      </c>
      <c r="AG576" s="701">
        <f t="shared" si="282"/>
        <v>-8.8833418908616668</v>
      </c>
      <c r="AH576" s="702">
        <f t="shared" si="283"/>
        <v>-48.084051476386975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5">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1.0947309833853387</v>
      </c>
      <c r="N577" s="694">
        <f t="shared" si="270"/>
        <v>-0.41907328212959899</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-14.620556689775963</v>
      </c>
      <c r="X577" s="699">
        <f t="shared" si="276"/>
        <v>-201.14070659741074</v>
      </c>
      <c r="Y577" s="702">
        <f t="shared" si="277"/>
        <v>-21.140706597410741</v>
      </c>
      <c r="AA577" s="174">
        <f t="shared" si="278"/>
        <v>104710</v>
      </c>
      <c r="AB577" s="174">
        <f t="shared" si="279"/>
        <v>10964184100</v>
      </c>
      <c r="AD577" s="701">
        <f t="shared" si="280"/>
        <v>26.542933914244195</v>
      </c>
      <c r="AE577" s="702">
        <f t="shared" si="281"/>
        <v>-28.484558150512125</v>
      </c>
      <c r="AG577" s="701">
        <f t="shared" si="282"/>
        <v>-8.9090186948028069</v>
      </c>
      <c r="AH577" s="702">
        <f t="shared" si="283"/>
        <v>-47.767714407034028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5">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1.09685318433884</v>
      </c>
      <c r="N578" s="694">
        <f t="shared" si="270"/>
        <v>-0.42339570511800001</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-14.784556679499596</v>
      </c>
      <c r="X578" s="699">
        <f t="shared" si="276"/>
        <v>-202.16184843152834</v>
      </c>
      <c r="Y578" s="702">
        <f t="shared" si="277"/>
        <v>-22.161848431528341</v>
      </c>
      <c r="AA578" s="174">
        <f t="shared" si="278"/>
        <v>105930</v>
      </c>
      <c r="AB578" s="174">
        <f t="shared" si="279"/>
        <v>11221164900</v>
      </c>
      <c r="AD578" s="701">
        <f t="shared" si="280"/>
        <v>26.520892539884656</v>
      </c>
      <c r="AE578" s="702">
        <f t="shared" si="281"/>
        <v>-28.750648859838716</v>
      </c>
      <c r="AG578" s="701">
        <f t="shared" si="282"/>
        <v>-8.9339802720200581</v>
      </c>
      <c r="AH578" s="702">
        <f t="shared" si="283"/>
        <v>-47.445595345458187</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5">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1.098995798806006</v>
      </c>
      <c r="N579" s="694">
        <f t="shared" si="270"/>
        <v>-0.4277013542021022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-14.947475085117519</v>
      </c>
      <c r="X579" s="699">
        <f t="shared" si="276"/>
        <v>-203.17741902127298</v>
      </c>
      <c r="Y579" s="702">
        <f t="shared" si="277"/>
        <v>-23.177419021272982</v>
      </c>
      <c r="AA579" s="174">
        <f t="shared" si="278"/>
        <v>107150</v>
      </c>
      <c r="AB579" s="174">
        <f t="shared" si="279"/>
        <v>11481122500</v>
      </c>
      <c r="AD579" s="701">
        <f t="shared" si="280"/>
        <v>26.498709644049327</v>
      </c>
      <c r="AE579" s="702">
        <f t="shared" si="281"/>
        <v>-29.015536954658625</v>
      </c>
      <c r="AG579" s="701">
        <f t="shared" si="282"/>
        <v>-8.9575960950313611</v>
      </c>
      <c r="AH579" s="702">
        <f t="shared" si="283"/>
        <v>-47.125634304432978</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5">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1.1012121485507695</v>
      </c>
      <c r="N580" s="694">
        <f t="shared" si="270"/>
        <v>-0.43209541817927616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-15.113298922833948</v>
      </c>
      <c r="X580" s="699">
        <f t="shared" si="276"/>
        <v>-204.2122443785214</v>
      </c>
      <c r="Y580" s="702">
        <f t="shared" si="277"/>
        <v>-24.212244378521405</v>
      </c>
      <c r="AA580" s="174">
        <f t="shared" si="278"/>
        <v>108400</v>
      </c>
      <c r="AB580" s="174">
        <f t="shared" si="279"/>
        <v>11750560000</v>
      </c>
      <c r="AD580" s="701">
        <f t="shared" si="280"/>
        <v>26.4758373140921</v>
      </c>
      <c r="AE580" s="702">
        <f t="shared" si="281"/>
        <v>-29.285682830833686</v>
      </c>
      <c r="AG580" s="701">
        <f t="shared" si="282"/>
        <v>-8.9804311536477073</v>
      </c>
      <c r="AH580" s="702">
        <f t="shared" si="283"/>
        <v>-46.799978084192468</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5">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1.1034496746264777</v>
      </c>
      <c r="N581" s="694">
        <f t="shared" si="270"/>
        <v>-0.43647174619535817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-15.278029483076512</v>
      </c>
      <c r="X581" s="699">
        <f t="shared" si="276"/>
        <v>-205.24134382747368</v>
      </c>
      <c r="Y581" s="702">
        <f t="shared" si="277"/>
        <v>-25.241343827473685</v>
      </c>
      <c r="AA581" s="174">
        <f t="shared" si="278"/>
        <v>109650</v>
      </c>
      <c r="AB581" s="174">
        <f t="shared" si="279"/>
        <v>12023122500</v>
      </c>
      <c r="AD581" s="701">
        <f t="shared" si="280"/>
        <v>26.452822154146599</v>
      </c>
      <c r="AE581" s="702">
        <f t="shared" si="281"/>
        <v>-29.554549494591388</v>
      </c>
      <c r="AG581" s="701">
        <f t="shared" si="282"/>
        <v>-9.0019219578051466</v>
      </c>
      <c r="AH581" s="702">
        <f t="shared" si="283"/>
        <v>-46.47645410959629</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5">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1.1057536337554938</v>
      </c>
      <c r="N582" s="694">
        <f t="shared" si="270"/>
        <v>-0.4409172675474351</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-15.44494953423786</v>
      </c>
      <c r="X582" s="699">
        <f t="shared" si="276"/>
        <v>-206.28519150289546</v>
      </c>
      <c r="Y582" s="702">
        <f t="shared" si="277"/>
        <v>-26.285191502895458</v>
      </c>
      <c r="AA582" s="174">
        <f t="shared" si="278"/>
        <v>110925</v>
      </c>
      <c r="AB582" s="174">
        <f t="shared" si="279"/>
        <v>12304355625</v>
      </c>
      <c r="AD582" s="701">
        <f t="shared" si="280"/>
        <v>26.429202530318634</v>
      </c>
      <c r="AE582" s="702">
        <f t="shared" si="281"/>
        <v>-29.82746778885916</v>
      </c>
      <c r="AG582" s="701">
        <f t="shared" si="282"/>
        <v>-9.0224917497247183</v>
      </c>
      <c r="AH582" s="702">
        <f t="shared" si="283"/>
        <v>-46.148586478248362</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5">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1.108079354392816</v>
      </c>
      <c r="N583" s="694">
        <f t="shared" si="270"/>
        <v>-0.4453442148913363</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-15.61077444533705</v>
      </c>
      <c r="X583" s="699">
        <f t="shared" si="276"/>
        <v>-207.32321420816234</v>
      </c>
      <c r="Y583" s="702">
        <f t="shared" si="277"/>
        <v>-27.323214208162341</v>
      </c>
      <c r="AA583" s="174">
        <f t="shared" si="278"/>
        <v>112200</v>
      </c>
      <c r="AB583" s="174">
        <f t="shared" si="279"/>
        <v>12588840000</v>
      </c>
      <c r="AD583" s="701">
        <f t="shared" si="280"/>
        <v>26.405440330230981</v>
      </c>
      <c r="AE583" s="702">
        <f t="shared" si="281"/>
        <v>-30.099039867859521</v>
      </c>
      <c r="AG583" s="701">
        <f t="shared" si="282"/>
        <v>-9.0417306666906665</v>
      </c>
      <c r="AH583" s="702">
        <f t="shared" si="283"/>
        <v>-45.822795876047856</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5">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1.1104914403912352</v>
      </c>
      <c r="N584" s="694">
        <f t="shared" si="270"/>
        <v>-0.44987328134761734</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-15.780032293496369</v>
      </c>
      <c r="X584" s="699">
        <f t="shared" si="276"/>
        <v>-208.38373544029491</v>
      </c>
      <c r="Y584" s="702">
        <f t="shared" si="277"/>
        <v>-28.383735440294913</v>
      </c>
      <c r="AA584" s="174">
        <f t="shared" si="278"/>
        <v>113510</v>
      </c>
      <c r="AB584" s="174">
        <f t="shared" si="279"/>
        <v>12884520100</v>
      </c>
      <c r="AD584" s="701">
        <f t="shared" si="280"/>
        <v>26.380880497390716</v>
      </c>
      <c r="AE584" s="702">
        <f t="shared" si="281"/>
        <v>-30.376657516397032</v>
      </c>
      <c r="AG584" s="701">
        <f t="shared" si="282"/>
        <v>-9.0601454987751069</v>
      </c>
      <c r="AH584" s="702">
        <f t="shared" si="283"/>
        <v>-45.490150552294757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5">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1.1129262062710448</v>
      </c>
      <c r="N585" s="694">
        <f t="shared" si="270"/>
        <v>-0.45438262334844653</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-15.948177294408186</v>
      </c>
      <c r="X585" s="699">
        <f t="shared" si="276"/>
        <v>-209.43825204535128</v>
      </c>
      <c r="Y585" s="702">
        <f t="shared" si="277"/>
        <v>-29.438252045351277</v>
      </c>
      <c r="AA585" s="174">
        <f t="shared" si="278"/>
        <v>114820</v>
      </c>
      <c r="AB585" s="174">
        <f t="shared" si="279"/>
        <v>13183632400</v>
      </c>
      <c r="AD585" s="701">
        <f t="shared" si="280"/>
        <v>26.356176570978391</v>
      </c>
      <c r="AE585" s="702">
        <f t="shared" si="281"/>
        <v>-30.652839990567301</v>
      </c>
      <c r="AG585" s="701">
        <f t="shared" si="282"/>
        <v>-9.0772232584535164</v>
      </c>
      <c r="AH585" s="702">
        <f t="shared" si="283"/>
        <v>-45.159545789719502</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5">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1.115430616618708</v>
      </c>
      <c r="N586" s="694">
        <f t="shared" si="270"/>
        <v>-0.45895767332273912</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-16.118408055968978</v>
      </c>
      <c r="X586" s="699">
        <f t="shared" si="276"/>
        <v>-210.50679176841888</v>
      </c>
      <c r="Y586" s="702">
        <f t="shared" si="277"/>
        <v>-30.506791768418879</v>
      </c>
      <c r="AA586" s="174">
        <f t="shared" si="278"/>
        <v>116155</v>
      </c>
      <c r="AB586" s="174">
        <f t="shared" si="279"/>
        <v>13491984025</v>
      </c>
      <c r="AD586" s="701">
        <f t="shared" si="280"/>
        <v>26.330856279188275</v>
      </c>
      <c r="AE586" s="702">
        <f t="shared" si="281"/>
        <v>-30.932810187832494</v>
      </c>
      <c r="AG586" s="701">
        <f t="shared" si="282"/>
        <v>-9.0932849707632055</v>
      </c>
      <c r="AH586" s="702">
        <f t="shared" si="283"/>
        <v>-44.82465171931311</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5">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1.117958269249048</v>
      </c>
      <c r="N587" s="694">
        <f t="shared" si="270"/>
        <v>-0.46351213031089383</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-16.28752665802083</v>
      </c>
      <c r="X587" s="699">
        <f t="shared" si="276"/>
        <v>-211.56925046196005</v>
      </c>
      <c r="Y587" s="702">
        <f t="shared" si="277"/>
        <v>-31.569250461960053</v>
      </c>
      <c r="AA587" s="174">
        <f t="shared" si="278"/>
        <v>117490</v>
      </c>
      <c r="AB587" s="174">
        <f t="shared" si="279"/>
        <v>13803900100</v>
      </c>
      <c r="AD587" s="701">
        <f t="shared" si="280"/>
        <v>26.305393054210072</v>
      </c>
      <c r="AE587" s="702">
        <f t="shared" si="281"/>
        <v>-31.211277536343722</v>
      </c>
      <c r="AG587" s="701">
        <f t="shared" si="282"/>
        <v>-9.1080249108263871</v>
      </c>
      <c r="AH587" s="702">
        <f t="shared" si="283"/>
        <v>-44.491716338376996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5">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1.1205761892594976</v>
      </c>
      <c r="N588" s="694">
        <f t="shared" si="270"/>
        <v>-0.46816453133454855</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-16.459944995802907</v>
      </c>
      <c r="X588" s="699">
        <f t="shared" si="276"/>
        <v>-212.65332410045045</v>
      </c>
      <c r="Y588" s="702">
        <f t="shared" si="277"/>
        <v>-32.653324100450448</v>
      </c>
      <c r="AA588" s="174">
        <f t="shared" si="278"/>
        <v>118860</v>
      </c>
      <c r="AB588" s="174">
        <f t="shared" si="279"/>
        <v>14127699600</v>
      </c>
      <c r="AD588" s="701">
        <f t="shared" si="280"/>
        <v>26.279117158594254</v>
      </c>
      <c r="AE588" s="702">
        <f t="shared" si="281"/>
        <v>-31.495477473263026</v>
      </c>
      <c r="AG588" s="701">
        <f t="shared" si="282"/>
        <v>-9.1218104464734857</v>
      </c>
      <c r="AH588" s="702">
        <f t="shared" si="283"/>
        <v>-44.152004281064897</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5">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1.1232182505892527</v>
      </c>
      <c r="N589" s="694">
        <f t="shared" ref="N589:N613" si="302">-ATAN(G589/z_RHP)</f>
        <v>-0.4727951452140905</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-16.631236696297425</v>
      </c>
      <c r="X589" s="699">
        <f t="shared" ref="X589:X613" si="308">((L589+R589+N589+V589)-(J589+P589+T589))*radconv</f>
        <v>-213.73116176144799</v>
      </c>
      <c r="Y589" s="702">
        <f t="shared" ref="Y589:Y613" si="309">IF(X589&gt;0,X589,X589+180)</f>
        <v>-33.731161761447993</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-9.1342705543008726</v>
      </c>
      <c r="AH589" s="702">
        <f t="shared" ref="AH589:AH613" si="315">(L589+N589-(J589+V589))*radconv</f>
        <v>-43.814183604276145</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5">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1.1346671556779595</v>
      </c>
      <c r="N590" s="694">
        <f t="shared" si="302"/>
        <v>-0.49215688970198401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-17.344424404625666</v>
      </c>
      <c r="X590" s="699">
        <f t="shared" si="308"/>
        <v>-218.227156995044</v>
      </c>
      <c r="Y590" s="702">
        <f t="shared" si="309"/>
        <v>-38.227156995043998</v>
      </c>
      <c r="AA590" s="174">
        <f t="shared" si="310"/>
        <v>126030</v>
      </c>
      <c r="AB590" s="174">
        <f t="shared" si="311"/>
        <v>15883560900</v>
      </c>
      <c r="AD590" s="701">
        <f t="shared" si="312"/>
        <v>26.1393417947017</v>
      </c>
      <c r="AE590" s="702">
        <f t="shared" si="313"/>
        <v>-32.95677510173924</v>
      </c>
      <c r="AG590" s="701">
        <f t="shared" si="314"/>
        <v>-9.1730460049935836</v>
      </c>
      <c r="AH590" s="702">
        <f t="shared" si="315"/>
        <v>-42.402973694169674</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5">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1.1465328346364121</v>
      </c>
      <c r="N591" s="694">
        <f t="shared" si="302"/>
        <v>-0.51112486812200708</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-18.03936075794979</v>
      </c>
      <c r="X591" s="699">
        <f t="shared" si="308"/>
        <v>-222.61943814971426</v>
      </c>
      <c r="Y591" s="702">
        <f t="shared" si="309"/>
        <v>-42.619438149714256</v>
      </c>
      <c r="AA591" s="174">
        <f t="shared" si="310"/>
        <v>131830</v>
      </c>
      <c r="AB591" s="174">
        <f t="shared" si="311"/>
        <v>17379148900</v>
      </c>
      <c r="AD591" s="701">
        <f t="shared" si="312"/>
        <v>26.023740080693585</v>
      </c>
      <c r="AE591" s="702">
        <f t="shared" si="313"/>
        <v>-34.106611219246382</v>
      </c>
      <c r="AG591" s="701">
        <f t="shared" si="314"/>
        <v>-9.1907793799800448</v>
      </c>
      <c r="AH591" s="702">
        <f t="shared" si="315"/>
        <v>-41.017697086743823</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5">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1.1739300114709061</v>
      </c>
      <c r="N592" s="694">
        <f t="shared" si="302"/>
        <v>-0.55130910519389764</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-19.505315982687954</v>
      </c>
      <c r="X592" s="699">
        <f t="shared" si="308"/>
        <v>-231.91392150224161</v>
      </c>
      <c r="Y592" s="702">
        <f t="shared" si="309"/>
        <v>-51.913921502241607</v>
      </c>
      <c r="AA592" s="174">
        <f t="shared" si="310"/>
        <v>144540</v>
      </c>
      <c r="AB592" s="174">
        <f t="shared" si="311"/>
        <v>20891811600</v>
      </c>
      <c r="AD592" s="701">
        <f t="shared" si="312"/>
        <v>25.763765043160276</v>
      </c>
      <c r="AE592" s="702">
        <f t="shared" si="313"/>
        <v>-36.525312484200356</v>
      </c>
      <c r="AG592" s="701">
        <f t="shared" si="314"/>
        <v>-9.1645754348012876</v>
      </c>
      <c r="AH592" s="702">
        <f t="shared" si="315"/>
        <v>-38.042392565301384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5">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1.206075925285053</v>
      </c>
      <c r="N593" s="694">
        <f t="shared" si="302"/>
        <v>-0.59323734196227174</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-21.037634058630708</v>
      </c>
      <c r="X593" s="699">
        <f t="shared" si="308"/>
        <v>-241.6599734120976</v>
      </c>
      <c r="Y593" s="702">
        <f t="shared" si="309"/>
        <v>-61.6599734120976</v>
      </c>
      <c r="AA593" s="174">
        <f t="shared" si="310"/>
        <v>158490</v>
      </c>
      <c r="AB593" s="174">
        <f t="shared" si="311"/>
        <v>25119080100</v>
      </c>
      <c r="AD593" s="701">
        <f t="shared" si="312"/>
        <v>25.470245616071296</v>
      </c>
      <c r="AE593" s="702">
        <f t="shared" si="313"/>
        <v>-39.022104297143159</v>
      </c>
      <c r="AG593" s="701">
        <f t="shared" si="314"/>
        <v>-9.0463088081249783</v>
      </c>
      <c r="AH593" s="702">
        <f t="shared" si="315"/>
        <v>-34.811245839804968</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5">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1.2436105514773794</v>
      </c>
      <c r="N594" s="694">
        <f t="shared" si="302"/>
        <v>-0.63661905132547647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-22.644451154484742</v>
      </c>
      <c r="X594" s="699">
        <f t="shared" si="308"/>
        <v>-251.8997281576419</v>
      </c>
      <c r="Y594" s="702">
        <f t="shared" si="309"/>
        <v>-71.899728157641903</v>
      </c>
      <c r="AA594" s="174">
        <f t="shared" si="310"/>
        <v>173780</v>
      </c>
      <c r="AB594" s="174">
        <f t="shared" si="311"/>
        <v>30199488400</v>
      </c>
      <c r="AD594" s="701">
        <f t="shared" si="312"/>
        <v>25.141890801048167</v>
      </c>
      <c r="AE594" s="702">
        <f t="shared" si="313"/>
        <v>-41.574744849106672</v>
      </c>
      <c r="AG594" s="701">
        <f t="shared" si="314"/>
        <v>-8.8225311904239678</v>
      </c>
      <c r="AH594" s="702">
        <f t="shared" si="315"/>
        <v>-31.221327329228373</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5">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1.2873018414124511</v>
      </c>
      <c r="N595" s="694">
        <f t="shared" si="302"/>
        <v>-0.68119844138318275</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-24.345026124460869</v>
      </c>
      <c r="X595" s="699">
        <f t="shared" si="308"/>
        <v>-262.73741852771786</v>
      </c>
      <c r="Y595" s="702">
        <f t="shared" si="309"/>
        <v>-82.737418527717864</v>
      </c>
      <c r="AA595" s="174">
        <f t="shared" si="310"/>
        <v>190550</v>
      </c>
      <c r="AB595" s="174">
        <f t="shared" si="311"/>
        <v>36309302500</v>
      </c>
      <c r="AD595" s="701">
        <f t="shared" si="312"/>
        <v>24.777313356132204</v>
      </c>
      <c r="AE595" s="702">
        <f t="shared" si="313"/>
        <v>-44.16407882802968</v>
      </c>
      <c r="AG595" s="701">
        <f t="shared" si="314"/>
        <v>-8.4716632796785856</v>
      </c>
      <c r="AH595" s="702">
        <f t="shared" si="315"/>
        <v>-27.112446131204795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5">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1.3379213927977605</v>
      </c>
      <c r="N596" s="694">
        <f t="shared" si="302"/>
        <v>-0.72661412074960308</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-26.171676750045375</v>
      </c>
      <c r="X596" s="699">
        <f t="shared" si="308"/>
        <v>-274.330186934003</v>
      </c>
      <c r="Y596" s="702">
        <f t="shared" si="309"/>
        <v>-94.330186934002995</v>
      </c>
      <c r="AA596" s="174">
        <f t="shared" si="310"/>
        <v>208930</v>
      </c>
      <c r="AB596" s="174">
        <f t="shared" si="311"/>
        <v>43651744900</v>
      </c>
      <c r="AD596" s="701">
        <f t="shared" si="312"/>
        <v>24.376186454266442</v>
      </c>
      <c r="AE596" s="702">
        <f t="shared" si="313"/>
        <v>-46.766099675312738</v>
      </c>
      <c r="AG596" s="701">
        <f t="shared" si="314"/>
        <v>-7.9573565304127118</v>
      </c>
      <c r="AH596" s="702">
        <f t="shared" si="315"/>
        <v>-22.255199610166351</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5">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1.396371250417749</v>
      </c>
      <c r="N597" s="694">
        <f t="shared" si="302"/>
        <v>-0.77253748379007492</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-28.190605989842474</v>
      </c>
      <c r="X597" s="699">
        <f t="shared" si="308"/>
        <v>-286.96085213886408</v>
      </c>
      <c r="Y597" s="702">
        <f t="shared" si="309"/>
        <v>-106.96085213886408</v>
      </c>
      <c r="AA597" s="174">
        <f t="shared" si="310"/>
        <v>229090</v>
      </c>
      <c r="AB597" s="174">
        <f t="shared" si="311"/>
        <v>52482228100</v>
      </c>
      <c r="AD597" s="701">
        <f t="shared" si="312"/>
        <v>23.938225118154275</v>
      </c>
      <c r="AE597" s="702">
        <f t="shared" si="313"/>
        <v>-49.360242832493199</v>
      </c>
      <c r="AG597" s="701">
        <f t="shared" si="314"/>
        <v>-7.211669271108315</v>
      </c>
      <c r="AH597" s="702">
        <f t="shared" si="315"/>
        <v>-16.299522109950331</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5">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1.4635416530217662</v>
      </c>
      <c r="N598" s="694">
        <f t="shared" si="302"/>
        <v>-0.81855907126013538</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-30.533945059503868</v>
      </c>
      <c r="X598" s="699">
        <f t="shared" si="308"/>
        <v>-301.06811846868965</v>
      </c>
      <c r="Y598" s="702">
        <f t="shared" si="309"/>
        <v>-121.06811846868965</v>
      </c>
      <c r="AA598" s="174">
        <f t="shared" si="310"/>
        <v>251190</v>
      </c>
      <c r="AB598" s="174">
        <f t="shared" si="311"/>
        <v>63096416100</v>
      </c>
      <c r="AD598" s="701">
        <f t="shared" si="312"/>
        <v>23.464301545813719</v>
      </c>
      <c r="AE598" s="702">
        <f t="shared" si="313"/>
        <v>-51.923002738973317</v>
      </c>
      <c r="AG598" s="701">
        <f t="shared" si="314"/>
        <v>-6.0994332656212489</v>
      </c>
      <c r="AH598" s="702">
        <f t="shared" si="315"/>
        <v>-8.728050211407</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5">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1.540417942244426</v>
      </c>
      <c r="N599" s="694">
        <f t="shared" si="302"/>
        <v>-0.86429770484484725</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-33.502368112854825</v>
      </c>
      <c r="X599" s="699">
        <f t="shared" si="308"/>
        <v>-317.34751444770734</v>
      </c>
      <c r="Y599" s="702">
        <f t="shared" si="309"/>
        <v>-137.34751444770734</v>
      </c>
      <c r="AA599" s="174">
        <f t="shared" si="310"/>
        <v>275420</v>
      </c>
      <c r="AB599" s="174">
        <f t="shared" si="311"/>
        <v>75856176400</v>
      </c>
      <c r="AD599" s="701">
        <f t="shared" si="312"/>
        <v>22.955562257354515</v>
      </c>
      <c r="AE599" s="702">
        <f t="shared" si="313"/>
        <v>-54.434142428718481</v>
      </c>
      <c r="AG599" s="701">
        <f t="shared" si="314"/>
        <v>-4.3183940437358208</v>
      </c>
      <c r="AH599" s="702">
        <f t="shared" si="315"/>
        <v>1.2283438911269287</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5">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1.6280850463548822</v>
      </c>
      <c r="N600" s="694">
        <f t="shared" si="302"/>
        <v>-0.90940103102358827</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-37.890739615198981</v>
      </c>
      <c r="X600" s="699">
        <f t="shared" si="308"/>
        <v>-336.7571356904611</v>
      </c>
      <c r="Y600" s="702">
        <f t="shared" si="309"/>
        <v>-156.7571356904611</v>
      </c>
      <c r="AA600" s="174">
        <f t="shared" si="310"/>
        <v>302000</v>
      </c>
      <c r="AB600" s="174">
        <f t="shared" si="311"/>
        <v>91204000000</v>
      </c>
      <c r="AD600" s="701">
        <f t="shared" si="312"/>
        <v>22.413412245024659</v>
      </c>
      <c r="AE600" s="702">
        <f t="shared" si="313"/>
        <v>-56.876468905518337</v>
      </c>
      <c r="AG600" s="701">
        <f t="shared" si="314"/>
        <v>-1.073072956529435</v>
      </c>
      <c r="AH600" s="702">
        <f t="shared" si="315"/>
        <v>14.596350458135886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5">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1.7275572413324281</v>
      </c>
      <c r="N601" s="694">
        <f t="shared" si="302"/>
        <v>-0.95347615704936839</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-46.850577357873519</v>
      </c>
      <c r="X601" s="699">
        <f t="shared" si="308"/>
        <v>-360.0758386826746</v>
      </c>
      <c r="Y601" s="702">
        <f t="shared" si="309"/>
        <v>-180.0758386826746</v>
      </c>
      <c r="AA601" s="174">
        <f t="shared" si="310"/>
        <v>331130</v>
      </c>
      <c r="AB601" s="174">
        <f t="shared" si="311"/>
        <v>109647076900</v>
      </c>
      <c r="AD601" s="701">
        <f t="shared" si="312"/>
        <v>21.840462199252933</v>
      </c>
      <c r="AE601" s="702">
        <f t="shared" si="313"/>
        <v>-59.231846228384406</v>
      </c>
      <c r="AG601" s="701">
        <f t="shared" si="314"/>
        <v>6.7898241037613181</v>
      </c>
      <c r="AH601" s="702">
        <f t="shared" si="315"/>
        <v>32.227246244881663</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5">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1.8400761448390504</v>
      </c>
      <c r="N602" s="694">
        <f t="shared" si="302"/>
        <v>-0.99624790891744452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-51.578942233186467</v>
      </c>
      <c r="X602" s="699">
        <f t="shared" si="308"/>
        <v>-206.68497968587957</v>
      </c>
      <c r="Y602" s="702">
        <f t="shared" si="309"/>
        <v>-26.684979685879568</v>
      </c>
      <c r="AA602" s="174">
        <f t="shared" si="310"/>
        <v>363080</v>
      </c>
      <c r="AB602" s="174">
        <f t="shared" si="311"/>
        <v>131827086400</v>
      </c>
      <c r="AD602" s="701">
        <f t="shared" si="312"/>
        <v>21.238633749384725</v>
      </c>
      <c r="AE602" s="702">
        <f t="shared" si="313"/>
        <v>-61.489398060057276</v>
      </c>
      <c r="AG602" s="701">
        <f t="shared" si="314"/>
        <v>10.466692561276972</v>
      </c>
      <c r="AH602" s="702">
        <f t="shared" si="315"/>
        <v>-126.44258479597461</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5">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1.9668423856081627</v>
      </c>
      <c r="N603" s="694">
        <f t="shared" si="302"/>
        <v>-1.0374367507203486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-42.753159049807138</v>
      </c>
      <c r="X603" s="699">
        <f t="shared" si="308"/>
        <v>-233.62064309142463</v>
      </c>
      <c r="Y603" s="702">
        <f t="shared" si="309"/>
        <v>-53.620643091424625</v>
      </c>
      <c r="AA603" s="174">
        <f t="shared" si="310"/>
        <v>398110</v>
      </c>
      <c r="AB603" s="174">
        <f t="shared" si="311"/>
        <v>158491572100</v>
      </c>
      <c r="AD603" s="701">
        <f t="shared" si="312"/>
        <v>20.610685423701931</v>
      </c>
      <c r="AE603" s="702">
        <f t="shared" si="313"/>
        <v>-63.638566210118348</v>
      </c>
      <c r="AG603" s="701">
        <f t="shared" si="314"/>
        <v>0.63516801415205904</v>
      </c>
      <c r="AH603" s="702">
        <f t="shared" si="315"/>
        <v>-104.32345579349457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5">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2.1091882460527756</v>
      </c>
      <c r="N604" s="694">
        <f t="shared" si="302"/>
        <v>-1.0768365278767893</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-40.883904975681858</v>
      </c>
      <c r="X604" s="699">
        <f t="shared" si="308"/>
        <v>-257.94870492977765</v>
      </c>
      <c r="Y604" s="702">
        <f t="shared" si="309"/>
        <v>-77.948704929777648</v>
      </c>
      <c r="AA604" s="174">
        <f t="shared" si="310"/>
        <v>436520</v>
      </c>
      <c r="AB604" s="174">
        <f t="shared" si="311"/>
        <v>190549710400</v>
      </c>
      <c r="AD604" s="701">
        <f t="shared" si="312"/>
        <v>19.959167576517196</v>
      </c>
      <c r="AE604" s="702">
        <f t="shared" si="313"/>
        <v>-65.672917710223075</v>
      </c>
      <c r="AG604" s="701">
        <f t="shared" si="314"/>
        <v>-2.1944433600202338</v>
      </c>
      <c r="AH604" s="702">
        <f t="shared" si="315"/>
        <v>-84.307387287238001</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5">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2.2685102149071659</v>
      </c>
      <c r="N605" s="694">
        <f t="shared" si="302"/>
        <v>-1.1142866012476109</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-41.047730700058523</v>
      </c>
      <c r="X605" s="699">
        <f t="shared" si="308"/>
        <v>-279.2857468692934</v>
      </c>
      <c r="Y605" s="702">
        <f t="shared" si="309"/>
        <v>-99.285746869293405</v>
      </c>
      <c r="AA605" s="174">
        <f t="shared" si="310"/>
        <v>478630</v>
      </c>
      <c r="AB605" s="174">
        <f t="shared" si="311"/>
        <v>229086676900</v>
      </c>
      <c r="AD605" s="701">
        <f t="shared" si="312"/>
        <v>19.286745881814337</v>
      </c>
      <c r="AE605" s="702">
        <f t="shared" si="313"/>
        <v>-67.588373437493217</v>
      </c>
      <c r="AG605" s="701">
        <f t="shared" si="314"/>
        <v>-2.945752597696305</v>
      </c>
      <c r="AH605" s="702">
        <f t="shared" si="315"/>
        <v>-66.743781296996644</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5">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2.4463861394854978</v>
      </c>
      <c r="N606" s="694">
        <f t="shared" si="302"/>
        <v>-1.1496945627753081</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-42.215738511699293</v>
      </c>
      <c r="X606" s="699">
        <f t="shared" si="308"/>
        <v>-299.24265132303884</v>
      </c>
      <c r="Y606" s="702">
        <f t="shared" si="309"/>
        <v>-119.24265132303884</v>
      </c>
      <c r="AA606" s="174">
        <f t="shared" si="310"/>
        <v>524810</v>
      </c>
      <c r="AB606" s="174">
        <f t="shared" si="311"/>
        <v>275425536100</v>
      </c>
      <c r="AD606" s="701">
        <f t="shared" si="312"/>
        <v>18.595693084520853</v>
      </c>
      <c r="AE606" s="702">
        <f t="shared" si="313"/>
        <v>-69.384144047341096</v>
      </c>
      <c r="AG606" s="701">
        <f t="shared" si="314"/>
        <v>-2.6480470393889322</v>
      </c>
      <c r="AH606" s="702">
        <f t="shared" si="315"/>
        <v>-49.998099413782491</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5">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2.644427582224214</v>
      </c>
      <c r="N607" s="694">
        <f t="shared" si="302"/>
        <v>-1.1829952735734757</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-44.276817319635128</v>
      </c>
      <c r="X607" s="699">
        <f t="shared" si="308"/>
        <v>-320.62692597386302</v>
      </c>
      <c r="Y607" s="702">
        <f t="shared" si="309"/>
        <v>-140.62692597386302</v>
      </c>
      <c r="AA607" s="174">
        <f t="shared" si="310"/>
        <v>575440</v>
      </c>
      <c r="AB607" s="174">
        <f t="shared" si="311"/>
        <v>331131193600</v>
      </c>
      <c r="AD607" s="701">
        <f t="shared" si="312"/>
        <v>17.888510358934901</v>
      </c>
      <c r="AE607" s="702">
        <f t="shared" si="313"/>
        <v>-71.060482689137473</v>
      </c>
      <c r="AG607" s="701">
        <f t="shared" si="314"/>
        <v>-1.4120099757416771</v>
      </c>
      <c r="AH607" s="702">
        <f t="shared" si="315"/>
        <v>-31.245469451409424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5">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2.8644766564680868</v>
      </c>
      <c r="N608" s="694">
        <f t="shared" si="302"/>
        <v>-1.2141816476478804</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-48.347491672689983</v>
      </c>
      <c r="X608" s="699">
        <f t="shared" si="308"/>
        <v>-348.30137568370043</v>
      </c>
      <c r="Y608" s="702">
        <f t="shared" si="309"/>
        <v>-168.30137568370043</v>
      </c>
      <c r="AA608" s="174">
        <f t="shared" si="310"/>
        <v>630960</v>
      </c>
      <c r="AB608" s="174">
        <f t="shared" si="311"/>
        <v>398110521600</v>
      </c>
      <c r="AD608" s="701">
        <f t="shared" si="312"/>
        <v>17.167189523716445</v>
      </c>
      <c r="AE608" s="702">
        <f t="shared" si="313"/>
        <v>-72.62015908377316</v>
      </c>
      <c r="AG608" s="701">
        <f t="shared" si="314"/>
        <v>1.8793488256719424</v>
      </c>
      <c r="AH608" s="702">
        <f t="shared" si="315"/>
        <v>-5.6148327846886215</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5">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3.1084546566753555</v>
      </c>
      <c r="N609" s="694">
        <f t="shared" si="302"/>
        <v>-1.2432684988792202</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-66.666405442907347</v>
      </c>
      <c r="X609" s="699">
        <f t="shared" si="308"/>
        <v>-388.84602394271474</v>
      </c>
      <c r="Y609" s="702">
        <f t="shared" si="309"/>
        <v>-208.84602394271474</v>
      </c>
      <c r="AA609" s="174">
        <f t="shared" si="310"/>
        <v>691830</v>
      </c>
      <c r="AB609" s="174">
        <f t="shared" si="311"/>
        <v>478628748900</v>
      </c>
      <c r="AD609" s="701">
        <f t="shared" si="312"/>
        <v>16.433808127488739</v>
      </c>
      <c r="AE609" s="702">
        <f t="shared" si="313"/>
        <v>-74.066596163650985</v>
      </c>
      <c r="AG609" s="701">
        <f t="shared" si="314"/>
        <v>19.465991972897648</v>
      </c>
      <c r="AH609" s="702">
        <f t="shared" si="315"/>
        <v>33.475933538876291</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5">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3.3785647668443883</v>
      </c>
      <c r="N610" s="694">
        <f t="shared" si="302"/>
        <v>-1.2703111590742862</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-52.384215368918831</v>
      </c>
      <c r="X610" s="699">
        <f t="shared" si="308"/>
        <v>-254.91344154655866</v>
      </c>
      <c r="Y610" s="702">
        <f t="shared" si="309"/>
        <v>-74.913441546558659</v>
      </c>
      <c r="AA610" s="174">
        <f t="shared" si="310"/>
        <v>758580</v>
      </c>
      <c r="AB610" s="174">
        <f t="shared" si="311"/>
        <v>575443616400</v>
      </c>
      <c r="AD610" s="701">
        <f t="shared" si="312"/>
        <v>15.689933061058882</v>
      </c>
      <c r="AE610" s="702">
        <f t="shared" si="313"/>
        <v>-75.404801654260027</v>
      </c>
      <c r="AG610" s="701">
        <f t="shared" si="314"/>
        <v>4.5001588396326149</v>
      </c>
      <c r="AH610" s="702">
        <f t="shared" si="315"/>
        <v>-101.32585065110744</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5">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3.6770952769506935</v>
      </c>
      <c r="N611" s="694">
        <f t="shared" si="302"/>
        <v>-1.295373563337149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-50.226716961221797</v>
      </c>
      <c r="X611" s="699">
        <f t="shared" si="308"/>
        <v>-290.30726697353657</v>
      </c>
      <c r="Y611" s="702">
        <f t="shared" si="309"/>
        <v>-110.30726697353657</v>
      </c>
      <c r="AA611" s="174">
        <f t="shared" si="310"/>
        <v>831760</v>
      </c>
      <c r="AB611" s="174">
        <f t="shared" si="311"/>
        <v>691824697600</v>
      </c>
      <c r="AD611" s="701">
        <f t="shared" si="312"/>
        <v>14.937269713483872</v>
      </c>
      <c r="AE611" s="702">
        <f t="shared" si="313"/>
        <v>-76.639805737207752</v>
      </c>
      <c r="AG611" s="701">
        <f t="shared" si="314"/>
        <v>1.7101321610101681</v>
      </c>
      <c r="AH611" s="702">
        <f t="shared" si="315"/>
        <v>-66.227634122462575</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5">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4.0067065599771841</v>
      </c>
      <c r="N612" s="694">
        <f t="shared" si="302"/>
        <v>-1.3185482295270572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-51.596825192158647</v>
      </c>
      <c r="X612" s="699">
        <f t="shared" si="308"/>
        <v>-320.86903930360103</v>
      </c>
      <c r="Y612" s="702">
        <f t="shared" si="309"/>
        <v>-140.86903930360103</v>
      </c>
      <c r="AA612" s="174">
        <f t="shared" si="310"/>
        <v>912010</v>
      </c>
      <c r="AB612" s="174">
        <f t="shared" si="311"/>
        <v>831762240100</v>
      </c>
      <c r="AD612" s="701">
        <f t="shared" si="312"/>
        <v>14.176956283645154</v>
      </c>
      <c r="AE612" s="702">
        <f t="shared" si="313"/>
        <v>-77.777689946560542</v>
      </c>
      <c r="AG612" s="701">
        <f t="shared" si="314"/>
        <v>2.5015223715597292</v>
      </c>
      <c r="AH612" s="702">
        <f t="shared" si="315"/>
        <v>-35.405452406715234</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5">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4.3701897414683284</v>
      </c>
      <c r="N613" s="694">
        <f t="shared" si="302"/>
        <v>-1.339927878215732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-57.836377946798017</v>
      </c>
      <c r="X613" s="699">
        <f t="shared" si="308"/>
        <v>-363.16494944082314</v>
      </c>
      <c r="Y613" s="702">
        <f t="shared" si="309"/>
        <v>-183.16494944082314</v>
      </c>
      <c r="AA613" s="174">
        <f t="shared" si="310"/>
        <v>1000000</v>
      </c>
      <c r="AB613" s="174">
        <f t="shared" si="311"/>
        <v>1000000000000</v>
      </c>
      <c r="AD613" s="701">
        <f t="shared" si="312"/>
        <v>13.410262120479651</v>
      </c>
      <c r="AE613" s="702">
        <f t="shared" si="313"/>
        <v>-78.82423353298563</v>
      </c>
      <c r="AG613" s="701">
        <f t="shared" si="314"/>
        <v>8.2195652298723783</v>
      </c>
      <c r="AH613" s="702">
        <f t="shared" si="315"/>
        <v>7.6832331696025271</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5">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5">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5">
      <c r="G616" s="174" t="s">
        <v>739</v>
      </c>
      <c r="M616" s="693"/>
      <c r="N616" s="694"/>
      <c r="W616" s="698"/>
      <c r="X616" s="699"/>
      <c r="Y616" s="712"/>
      <c r="AG616" s="701"/>
      <c r="AH616" s="702"/>
    </row>
    <row r="617" spans="7:44" x14ac:dyDescent="0.25">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5">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5">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5">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5">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5">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5">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5">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5">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5">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 thickBot="1" x14ac:dyDescent="0.3">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5">
      <c r="G628" s="201">
        <f>z_RHP</f>
        <v>235059.60852739401</v>
      </c>
      <c r="I628" s="714">
        <f>SQRT(1+(G628/pole1)^2)</f>
        <v>229.33551355552791</v>
      </c>
      <c r="J628" s="704">
        <f>ATAN(G628/pole1)</f>
        <v>1.5664358893144301</v>
      </c>
      <c r="K628" s="704">
        <f>SQRT(1+(G628/Zero1)^2)</f>
        <v>1.0080341799408361</v>
      </c>
      <c r="L628" s="705">
        <f>ATAN(G628/Zero1)</f>
        <v>0.12633887854447273</v>
      </c>
      <c r="M628" s="693">
        <v>1</v>
      </c>
      <c r="N628" s="694">
        <v>0</v>
      </c>
      <c r="O628" s="714">
        <f>SQRT(1+(G628/Pole2)^2)</f>
        <v>425353.84615502163</v>
      </c>
      <c r="P628" s="715">
        <f>ATAN(G628/Pole2)</f>
        <v>1.5707939758111003</v>
      </c>
      <c r="Q628" s="704">
        <f>SQRT(1+(G628/Zero2)^2)</f>
        <v>177.23359038887119</v>
      </c>
      <c r="R628" s="705">
        <f>ATAN(G628/Zero2)</f>
        <v>1.5651540255598273</v>
      </c>
      <c r="S628" s="692">
        <f>SQRT(1+(G628/pole4)^2)</f>
        <v>1.5479125091860568</v>
      </c>
      <c r="T628" s="695">
        <f>ATAN(G628/pole4)</f>
        <v>0.8684226683108156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5">
      <c r="G629" s="201">
        <v>195034.73926858415</v>
      </c>
      <c r="W629" s="698">
        <v>-25</v>
      </c>
    </row>
    <row r="631" spans="7:34" x14ac:dyDescent="0.25">
      <c r="J631" s="174" t="s">
        <v>743</v>
      </c>
      <c r="K631" s="174" t="s">
        <v>744</v>
      </c>
    </row>
    <row r="632" spans="7:34" x14ac:dyDescent="0.25">
      <c r="G632" s="174" t="s">
        <v>728</v>
      </c>
      <c r="H632" s="174" t="s">
        <v>745</v>
      </c>
      <c r="I632" s="176">
        <f>pole1</f>
        <v>1024.9692232299162</v>
      </c>
      <c r="J632" s="176" t="e">
        <f>W622</f>
        <v>#DIV/0!</v>
      </c>
      <c r="K632" s="176" t="e">
        <f>AG622</f>
        <v>#DIV/0!</v>
      </c>
    </row>
    <row r="633" spans="7:34" x14ac:dyDescent="0.25">
      <c r="G633" s="174" t="s">
        <v>729</v>
      </c>
      <c r="H633" s="174" t="s">
        <v>746</v>
      </c>
      <c r="I633" s="176">
        <f>Zero1</f>
        <v>1850638.8752762375</v>
      </c>
      <c r="J633" s="176" t="e">
        <f>W623</f>
        <v>#DIV/0!</v>
      </c>
      <c r="K633" s="176" t="e">
        <f>AG623</f>
        <v>#DIV/0!</v>
      </c>
    </row>
    <row r="634" spans="7:34" x14ac:dyDescent="0.25">
      <c r="G634" s="174" t="s">
        <v>730</v>
      </c>
      <c r="H634" s="174" t="s">
        <v>747</v>
      </c>
      <c r="I634" s="176">
        <f>Pole2</f>
        <v>0.5526213308116541</v>
      </c>
      <c r="J634" s="176" t="e">
        <f>W624</f>
        <v>#DIV/0!</v>
      </c>
      <c r="K634" s="176" t="e">
        <f>AG624</f>
        <v>#DIV/0!</v>
      </c>
    </row>
    <row r="635" spans="7:34" x14ac:dyDescent="0.25">
      <c r="G635" s="174" t="s">
        <v>741</v>
      </c>
      <c r="H635" s="174" t="s">
        <v>748</v>
      </c>
      <c r="I635" s="176">
        <f>Zero2</f>
        <v>1326.2911939479698</v>
      </c>
      <c r="J635" s="176" t="e">
        <f>W625</f>
        <v>#DIV/0!</v>
      </c>
      <c r="K635" s="176" t="e">
        <f>AG625</f>
        <v>#DIV/0!</v>
      </c>
    </row>
    <row r="636" spans="7:34" x14ac:dyDescent="0.25">
      <c r="G636" s="174" t="s">
        <v>706</v>
      </c>
      <c r="H636" s="174" t="s">
        <v>749</v>
      </c>
      <c r="I636" s="174">
        <f>pole3</f>
        <v>0</v>
      </c>
      <c r="J636" s="176" t="e">
        <f>W626</f>
        <v>#DIV/0!</v>
      </c>
      <c r="K636" s="176" t="e">
        <f>AG626</f>
        <v>#DIV/0!</v>
      </c>
    </row>
    <row r="637" spans="7:34" x14ac:dyDescent="0.25">
      <c r="I637" s="201"/>
      <c r="J637" s="176"/>
      <c r="K637" s="176"/>
    </row>
    <row r="639" spans="7:34" x14ac:dyDescent="0.25">
      <c r="G639" s="176">
        <f>W4*1000</f>
        <v>28348</v>
      </c>
    </row>
    <row r="640" spans="7:34" x14ac:dyDescent="0.25">
      <c r="G640" s="176">
        <f>W4*1000</f>
        <v>28348</v>
      </c>
    </row>
    <row r="687" spans="36:37" x14ac:dyDescent="0.25">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127000</xdr:rowOff>
                  </from>
                  <to>
                    <xdr:col>1</xdr:col>
                    <xdr:colOff>393700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5" x14ac:dyDescent="0.25"/>
  <cols>
    <col min="1" max="1" width="2.81640625" customWidth="1"/>
    <col min="2" max="2" width="3.54296875" customWidth="1"/>
    <col min="3" max="3" width="2.81640625" customWidth="1"/>
    <col min="4" max="4" width="3.7265625" customWidth="1"/>
    <col min="5" max="5" width="6.1796875" customWidth="1"/>
    <col min="6" max="6" width="8.54296875" customWidth="1"/>
    <col min="7"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10.81640625" customWidth="1"/>
    <col min="55" max="55" width="9.81640625" customWidth="1"/>
    <col min="56" max="56" width="11.7265625" customWidth="1"/>
    <col min="57" max="57" width="2" customWidth="1"/>
    <col min="60" max="60" width="2.1796875" customWidth="1"/>
    <col min="61" max="61" width="9" customWidth="1"/>
    <col min="62" max="63" width="8.1796875" customWidth="1"/>
    <col min="64" max="64" width="8.7265625" customWidth="1"/>
    <col min="65" max="66" width="7.54296875" customWidth="1"/>
    <col min="67" max="67" width="10.54296875" customWidth="1"/>
    <col min="68" max="68" width="8.7265625" customWidth="1"/>
    <col min="69" max="70" width="10.26953125" customWidth="1"/>
    <col min="71" max="72" width="10.54296875" customWidth="1"/>
    <col min="73" max="73" width="8.7265625" customWidth="1"/>
    <col min="75" max="75" width="9.81640625" customWidth="1"/>
    <col min="76" max="76" width="11.54296875" customWidth="1"/>
    <col min="77" max="77" width="12.1796875" customWidth="1"/>
    <col min="78" max="78" width="9.1796875" customWidth="1"/>
    <col min="80" max="80" width="7.7265625" customWidth="1"/>
    <col min="81" max="81" width="10.453125" customWidth="1"/>
    <col min="82" max="82" width="12.453125" bestFit="1" customWidth="1"/>
    <col min="83" max="83" width="4.54296875" customWidth="1"/>
    <col min="84" max="84" width="5" customWidth="1"/>
    <col min="85" max="85" width="9.54296875" customWidth="1"/>
  </cols>
  <sheetData>
    <row r="1" spans="2:86" ht="13" x14ac:dyDescent="0.3">
      <c r="B1" s="453" t="s">
        <v>526</v>
      </c>
      <c r="M1">
        <f>Vfwd2</f>
        <v>0.4</v>
      </c>
      <c r="BC1">
        <f>Ltc</f>
        <v>4.0000000000000001E-3</v>
      </c>
      <c r="BV1">
        <f>Ta</f>
        <v>55</v>
      </c>
    </row>
    <row r="2" spans="2:86" ht="13" thickBot="1" x14ac:dyDescent="0.3">
      <c r="M2">
        <f>Vfwd1</f>
        <v>0.32</v>
      </c>
      <c r="U2">
        <f>Isw_max</f>
        <v>1.5</v>
      </c>
    </row>
    <row r="3" spans="2:86" ht="13" x14ac:dyDescent="0.3">
      <c r="E3" s="224" t="s">
        <v>428</v>
      </c>
      <c r="F3" s="550"/>
      <c r="G3" s="550"/>
      <c r="H3" s="550"/>
      <c r="I3" s="225"/>
      <c r="J3" s="226"/>
      <c r="K3" s="534"/>
      <c r="L3" s="534"/>
      <c r="M3" s="850" t="s">
        <v>189</v>
      </c>
      <c r="N3" s="851"/>
      <c r="O3" s="852"/>
      <c r="P3" s="850"/>
      <c r="Q3" s="850"/>
      <c r="R3" s="852"/>
      <c r="S3" s="852"/>
      <c r="T3" s="852"/>
      <c r="U3" s="850"/>
      <c r="V3" s="851"/>
      <c r="W3" s="851"/>
      <c r="X3" s="850"/>
      <c r="Y3" s="851"/>
      <c r="Z3" s="850"/>
      <c r="AA3" s="853"/>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3">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5">
      <c r="E5" s="174">
        <v>0.1</v>
      </c>
      <c r="F5" s="221">
        <v>1.0000000000000001E-9</v>
      </c>
      <c r="G5" s="221"/>
      <c r="H5" s="221">
        <f t="shared" ref="H5:H36" si="0">F5*Vout</f>
        <v>1.6000000000000001E-8</v>
      </c>
      <c r="I5" s="551">
        <f t="shared" ref="I5:I36" si="1">Vin</f>
        <v>32</v>
      </c>
      <c r="J5" s="176">
        <f t="shared" ref="J5:J36" si="2">(T5+Vfwd1)*Nps</f>
        <v>19.584</v>
      </c>
      <c r="K5" s="451">
        <f t="shared" ref="K5:K36" si="3">(Vout+Vfwd1)*Nps+I5</f>
        <v>51.584000000000003</v>
      </c>
      <c r="L5" s="451"/>
      <c r="M5" s="220">
        <f t="shared" ref="M5:M36" si="4">(Vout+Vfwd1)*Nps/((Vout+Vfwd1)*Nps+I5)</f>
        <v>0.37965260545905705</v>
      </c>
      <c r="N5" s="176">
        <f t="shared" ref="N5:N36" si="5">M5*I5*Isw_max*0.5*Efficiency</f>
        <v>8.200496277915633</v>
      </c>
      <c r="O5" s="176">
        <f>T5*F5</f>
        <v>1.6000000000000001E-8</v>
      </c>
      <c r="P5" s="221">
        <f t="shared" ref="P5:P36" si="6">N5/Vout</f>
        <v>0.51253101736972706</v>
      </c>
      <c r="Q5" s="221">
        <f t="shared" ref="Q5:Q36" si="7">MIN(Vout,N5/F5)</f>
        <v>16</v>
      </c>
      <c r="R5" s="221">
        <f t="shared" ref="R5:R36" si="8">Isw_max/2*I5*Nps*(Q5+Vfwd1)/Q5/(I5+Nps*(Q5+Vfwd1))</f>
        <v>0.56947890818858549</v>
      </c>
      <c r="S5" s="176">
        <f t="shared" ref="S5:S36" si="9">(SQRT(Isw_max^2*Nps^2*I5^2+4*Isw_max*F5/Efficiency*(Nps^2*Vfwd1*I5-Nps*I5^2)+4*(F5/Efficiency)^2*Nps^2*Vfwd1^2+8*(F5/Efficiency)^2*Nps*Vfwd1*I5+4*(F5/Efficiency)^2*I5^2)-2*F5/Efficiency*I5-2*F5/Efficiency*Nps*Vfwd1+Isw_max*Nps*I5)/(4*F5/Efficiency*Nps)</f>
        <v>21599999973.333332</v>
      </c>
      <c r="T5" s="176">
        <f t="shared" ref="T5:T36" si="10">MIN(Vout, S5)</f>
        <v>16</v>
      </c>
      <c r="U5" s="221">
        <f t="shared" ref="U5:U36" si="11">MIN(2*Vout*F5/(Efficiency*I5*M5), Isw_max)</f>
        <v>2.9266521423384173E-9</v>
      </c>
      <c r="V5" s="221">
        <f t="shared" ref="V5:V36" si="12">L*U5/I5*1000000</f>
        <v>2.7437363834422661E-9</v>
      </c>
      <c r="W5" s="221">
        <f t="shared" ref="W5:W36" si="13">L*U5/J5*1000000</f>
        <v>4.4832293847095852E-9</v>
      </c>
      <c r="X5" s="201">
        <f t="shared" ref="X5:X36" si="14">IF(1/((350000*L)*(1/I5+1/J5))&gt;Isw_min, 350, 0.001/((Isw_min*L)*(1/I5+1/J5)))</f>
        <v>350</v>
      </c>
      <c r="Y5" s="451">
        <f>MIN(1/(V5+W5)*1000, 350)</f>
        <v>350</v>
      </c>
      <c r="AA5" s="221">
        <f t="shared" ref="AA5:AA36" si="15">1/((X5*1000*L)*(1/I5+1/J5))</f>
        <v>1.1570365118752215</v>
      </c>
      <c r="AB5" s="177">
        <f t="shared" ref="AB5:AB36" si="16">L*AA5/J5*1000000</f>
        <v>1.7724211272598367</v>
      </c>
      <c r="AC5" s="177">
        <f t="shared" ref="AC5:AC36" si="17">0.5*AB5*AA5*Nps*X5/1000</f>
        <v>0.4306587513183206</v>
      </c>
      <c r="AD5" s="177"/>
      <c r="AE5" s="177">
        <f t="shared" ref="AE5:AE36" si="18">L*Isw_min/J5*1000000</f>
        <v>0.4595588235294118</v>
      </c>
      <c r="AF5" s="555">
        <f t="shared" ref="AF5:AF36" si="19">MAX(12, F5/(0.5*AE5/1000000*Isw_min*Nps)/1000)</f>
        <v>12</v>
      </c>
      <c r="AG5" s="538">
        <f t="shared" ref="AG5:AG36" si="20">0.5*AE5/1000000*Isw_min*Nps*X5*1000</f>
        <v>2.8952205882352939E-2</v>
      </c>
      <c r="AI5" s="177">
        <f t="shared" ref="AI5:AI36" si="21">SQRT(F5/Efficiency/(0.5*L/J5*Fsw_DCM*Nps))</f>
        <v>5.8770470935396231E-5</v>
      </c>
      <c r="AJ5" s="177">
        <f t="shared" ref="AJ5:AJ36" si="22">MAX(IF(F5&gt;AC5,U5,AI5),Isw_min)</f>
        <v>0.3</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0.28125</v>
      </c>
      <c r="AU5" s="5">
        <f>AS5-AT5</f>
        <v>83.052083333333329</v>
      </c>
      <c r="AV5" s="5">
        <f t="shared" ref="AV5:AV36" si="29">L*AJ5/J5*1000000</f>
        <v>0.4595588235294118</v>
      </c>
      <c r="AW5" s="177">
        <f>AT5/AS5</f>
        <v>3.3750000000000004E-3</v>
      </c>
      <c r="AX5" s="177">
        <f t="shared" ref="AX5:AX36" si="30">0.5*L*AJ5^2*AN5*1000</f>
        <v>1.6199999999999999E-2</v>
      </c>
      <c r="AY5" s="177">
        <f t="shared" ref="AY5:AY36" si="31">AJ5*Nps/2*(1-AW5)</f>
        <v>0.17939249999999998</v>
      </c>
      <c r="AZ5" s="177">
        <f>AX5/AY5</f>
        <v>9.0304778627869065E-2</v>
      </c>
      <c r="BA5" s="469">
        <f t="shared" ref="BA5:BA36" si="32">L*Isw_max^2/(2*Vout_ripple*Vout)*1000000000*((1+M5)/2)^2</f>
        <v>6.273549245269658</v>
      </c>
      <c r="BB5" s="469">
        <f t="shared" ref="BB5:BB36" si="33">L*F5^2/(2*Cout*Vout*Nps^2)*1000000000*((1+M5)/(1-M5))^2+F5*RCoutEsr</f>
        <v>3.0000000322016673E-9</v>
      </c>
      <c r="BC5" s="5">
        <f t="shared" ref="BC5:BC36" si="34">H5/Efficiency/I5*AU5/Vinripple1</f>
        <v>2.883752893518518E-8</v>
      </c>
      <c r="BD5" s="469">
        <f t="shared" ref="BD5:BD36" si="35">((CB5/I5/Efficiency)*AU5/Cin+(CB5/I5/Efficiency)*RCinEsr)*1000</f>
        <v>4.6156712962962953E-6</v>
      </c>
      <c r="BE5" s="5"/>
      <c r="BF5" s="177">
        <f>AJ5*SQRT(AW5/3)</f>
        <v>1.0062305898749053E-2</v>
      </c>
      <c r="BG5" s="177">
        <f t="shared" ref="BG5:BG36" si="36">AJ5*Nps*SQRT((1-AW5)/3)</f>
        <v>0.20749506018216432</v>
      </c>
      <c r="BH5" s="177"/>
      <c r="BI5" s="538">
        <f t="shared" ref="BI5:BI36" si="37">Rdson*BF5^2</f>
        <v>3.5437499999999994E-5</v>
      </c>
      <c r="BJ5" s="538">
        <f t="shared" ref="BJ5:BJ36" si="38">0.5*K5*AJ5*AN5*1000*Trise</f>
        <v>9.2851200000000015E-4</v>
      </c>
      <c r="BK5" s="538">
        <f t="shared" ref="BK5:BK36" si="39">Qg*Vdd*AN5*1000</f>
        <v>1.4999999999999999E-4</v>
      </c>
      <c r="BL5" s="538">
        <f t="shared" ref="BL5:BL36" si="40">0.5*(Coss+Csw)*K5^2*AN5*1000</f>
        <v>1.5965454336000003E-3</v>
      </c>
      <c r="BM5">
        <f t="shared" ref="BM5:BM36" si="41">I5*IQ</f>
        <v>9.2800000000000001E-3</v>
      </c>
      <c r="BN5">
        <f t="shared" ref="BN5:BN36" si="42">(I5-Vdd)*Qg*AN5</f>
        <v>8.1000000000000008E-7</v>
      </c>
      <c r="BO5" s="538">
        <f t="shared" ref="BO5:BO36" si="43">(BJ5+BK5+BL5+BM5+BN5+BI5*(1+RdsonTC*(Ta-25)))/(1-BI5*RdsonTC*ThetaJA)</f>
        <v>1.1996167429666818E-2</v>
      </c>
      <c r="BP5" s="469">
        <f>BO5*1000</f>
        <v>11.996167429666817</v>
      </c>
      <c r="BQ5" s="538">
        <f t="shared" ref="BQ5:BQ36" si="44">(Vfwd2*F5+BG5^2*Rdiode)*(1+Diode_TC/1000*(Ta-25))</f>
        <v>1.6446704781999999E-2</v>
      </c>
      <c r="BR5" s="538"/>
      <c r="BT5" s="469">
        <f>SUM(BQ5:BS5)*1000</f>
        <v>16.446704781999998</v>
      </c>
      <c r="BU5" s="538">
        <f t="shared" ref="BU5:BU36" si="45">Rdcr_pri*BF5^2</f>
        <v>1.0125E-5</v>
      </c>
      <c r="BV5" s="538">
        <f t="shared" ref="BV5:BV36" si="46">Rdcr_sec*BG5^2</f>
        <v>1.2916259999999997E-3</v>
      </c>
      <c r="BW5" s="538">
        <f t="shared" ref="BW5:BW36" si="47">AJ5^2.5*AN5^2.5*k_core</f>
        <v>0</v>
      </c>
      <c r="BX5" s="538">
        <f t="shared" ref="BX5:BX36" si="48">(BW5+(BU5+BV5)*(1+Ltc*(Ta-25)))/(1-(BU5+BV5)*Ltc*ThetaCa)</f>
        <v>1.4581129680011364E-3</v>
      </c>
      <c r="BY5" s="538">
        <f t="shared" ref="BY5:BY36" si="49">0.5*Lleak*0.000000001*AJ5^2*AN5*1000</f>
        <v>5.4000000000000005E-5</v>
      </c>
      <c r="BZ5" s="469">
        <f>1000*(BX5+BY5)</f>
        <v>1.5121129680011365</v>
      </c>
      <c r="CA5" s="177">
        <f>SUM(BO5,BQ5:BS5,BX5, BY5)</f>
        <v>2.9954985179667951E-2</v>
      </c>
      <c r="CB5" s="5">
        <f>MIN(H5,O5)</f>
        <v>1.6000000000000001E-8</v>
      </c>
      <c r="CC5" s="177">
        <f>CB5/(CB5+CA5)</f>
        <v>5.3413451410110614E-7</v>
      </c>
      <c r="CD5" s="5">
        <f>CC5*100</f>
        <v>5.3413451410110611E-5</v>
      </c>
      <c r="CG5" s="571">
        <f t="shared" ref="CG5:CG36" si="50">IF(ABS(F5-Ioutmax_Vinnom)&lt;Iout/200, AN5, -50)</f>
        <v>-50</v>
      </c>
      <c r="CH5">
        <f t="shared" ref="CH5:CH36" si="51">IF(ABS(F5-Ioutmax_Vinnom)&lt;Iout/200, N5*CC5, -50)</f>
        <v>-50</v>
      </c>
    </row>
    <row r="6" spans="2:86" x14ac:dyDescent="0.25">
      <c r="E6" s="174">
        <v>1</v>
      </c>
      <c r="F6" s="221">
        <f t="shared" ref="F6:F37" si="52">IF(PLOT_TYPE=1, E6/100*Iout_max, min_I*EXP(N6*rr/100))</f>
        <v>2E-3</v>
      </c>
      <c r="G6" s="221"/>
      <c r="H6" s="221">
        <f t="shared" si="0"/>
        <v>3.2000000000000001E-2</v>
      </c>
      <c r="I6" s="551">
        <f t="shared" si="1"/>
        <v>32</v>
      </c>
      <c r="J6" s="176">
        <f t="shared" si="2"/>
        <v>19.584</v>
      </c>
      <c r="K6" s="451">
        <f t="shared" si="3"/>
        <v>51.584000000000003</v>
      </c>
      <c r="L6" s="451"/>
      <c r="M6" s="221">
        <f t="shared" si="4"/>
        <v>0.37965260545905705</v>
      </c>
      <c r="N6" s="176">
        <f t="shared" si="5"/>
        <v>8.200496277915633</v>
      </c>
      <c r="O6" s="176">
        <f t="shared" ref="O6:O69" si="53">T6*F6</f>
        <v>3.2000000000000001E-2</v>
      </c>
      <c r="P6" s="221">
        <f t="shared" si="6"/>
        <v>0.51253101736972706</v>
      </c>
      <c r="Q6" s="221">
        <f t="shared" si="7"/>
        <v>16</v>
      </c>
      <c r="R6" s="221">
        <f t="shared" si="8"/>
        <v>0.56947890818858549</v>
      </c>
      <c r="S6" s="176">
        <f t="shared" si="9"/>
        <v>10773.334125388958</v>
      </c>
      <c r="T6" s="176">
        <f t="shared" si="10"/>
        <v>16</v>
      </c>
      <c r="U6" s="221">
        <f t="shared" si="11"/>
        <v>5.8533042846768343E-3</v>
      </c>
      <c r="V6" s="221">
        <f t="shared" si="12"/>
        <v>5.4874727668845318E-3</v>
      </c>
      <c r="W6" s="221">
        <f t="shared" si="13"/>
        <v>8.9664587694191708E-3</v>
      </c>
      <c r="X6" s="201">
        <f t="shared" si="14"/>
        <v>350</v>
      </c>
      <c r="Y6" s="451">
        <f t="shared" ref="Y6:Y69" si="54">MIN(1/(V6+W6)*1000, 350)</f>
        <v>350</v>
      </c>
      <c r="AA6" s="221">
        <f t="shared" si="15"/>
        <v>1.1570365118752215</v>
      </c>
      <c r="AB6" s="177">
        <f t="shared" si="16"/>
        <v>1.7724211272598367</v>
      </c>
      <c r="AC6" s="177">
        <f t="shared" si="17"/>
        <v>0.4306587513183206</v>
      </c>
      <c r="AD6" s="177"/>
      <c r="AE6" s="177">
        <f t="shared" si="18"/>
        <v>0.4595588235294118</v>
      </c>
      <c r="AF6" s="555">
        <f t="shared" si="19"/>
        <v>24.177777777777781</v>
      </c>
      <c r="AG6" s="538">
        <f t="shared" si="20"/>
        <v>2.8952205882352939E-2</v>
      </c>
      <c r="AI6" s="177">
        <f t="shared" si="21"/>
        <v>8.3113997063891151E-2</v>
      </c>
      <c r="AJ6" s="177">
        <f t="shared" si="22"/>
        <v>0.3</v>
      </c>
      <c r="AK6" s="177">
        <f t="shared" si="23"/>
        <v>1.0138158730158731</v>
      </c>
      <c r="AM6" s="555">
        <f t="shared" si="24"/>
        <v>2</v>
      </c>
      <c r="AN6" s="469">
        <f t="shared" si="25"/>
        <v>24.177777777777781</v>
      </c>
      <c r="AP6">
        <f t="shared" si="26"/>
        <v>2</v>
      </c>
      <c r="AQ6" s="469">
        <f t="shared" si="27"/>
        <v>24.177777777777781</v>
      </c>
      <c r="AR6" s="469"/>
      <c r="AS6" s="5">
        <f t="shared" ref="AS6:AS69" si="55">1/AN6*1000</f>
        <v>41.360294117647051</v>
      </c>
      <c r="AT6" s="5">
        <f t="shared" si="28"/>
        <v>0.28125</v>
      </c>
      <c r="AU6" s="5">
        <f t="shared" ref="AU6:AU69" si="56">AS6-AT6</f>
        <v>41.079044117647051</v>
      </c>
      <c r="AV6" s="5">
        <f t="shared" si="29"/>
        <v>0.4595588235294118</v>
      </c>
      <c r="AW6" s="177">
        <f t="shared" ref="AW6:AW69" si="57">AT6/AS6</f>
        <v>6.8000000000000014E-3</v>
      </c>
      <c r="AX6" s="177">
        <f t="shared" si="30"/>
        <v>3.2640000000000009E-2</v>
      </c>
      <c r="AY6" s="177">
        <f t="shared" si="31"/>
        <v>0.17877599999999999</v>
      </c>
      <c r="AZ6" s="177">
        <f t="shared" ref="AZ6:AZ69" si="58">AX6/AY6</f>
        <v>0.18257484226070619</v>
      </c>
      <c r="BA6" s="469">
        <f t="shared" si="32"/>
        <v>6.273549245269658</v>
      </c>
      <c r="BB6" s="469">
        <f t="shared" si="33"/>
        <v>6.1288066666666668E-3</v>
      </c>
      <c r="BC6" s="5">
        <f t="shared" si="34"/>
        <v>2.8527113970588228E-2</v>
      </c>
      <c r="BD6" s="469">
        <f t="shared" si="35"/>
        <v>4.5676715686274507</v>
      </c>
      <c r="BE6" s="5"/>
      <c r="BF6" s="177">
        <f t="shared" ref="BF6:BF69" si="59">AJ6*SQRT(AW6/3)</f>
        <v>1.4282856857085701E-2</v>
      </c>
      <c r="BG6" s="177">
        <f t="shared" si="36"/>
        <v>0.20713821472630298</v>
      </c>
      <c r="BH6" s="177"/>
      <c r="BI6" s="538">
        <f t="shared" si="37"/>
        <v>7.1400000000000001E-5</v>
      </c>
      <c r="BJ6" s="538">
        <f t="shared" si="38"/>
        <v>1.8707797333333339E-3</v>
      </c>
      <c r="BK6" s="538">
        <f t="shared" si="39"/>
        <v>3.0222222222222223E-4</v>
      </c>
      <c r="BL6" s="538">
        <f t="shared" si="40"/>
        <v>3.216743392142223E-3</v>
      </c>
      <c r="BM6">
        <f t="shared" si="41"/>
        <v>9.2800000000000001E-3</v>
      </c>
      <c r="BN6">
        <f t="shared" si="42"/>
        <v>1.6320000000000002E-6</v>
      </c>
      <c r="BO6" s="538">
        <f t="shared" si="43"/>
        <v>1.4752610688264157E-2</v>
      </c>
      <c r="BP6" s="469">
        <f t="shared" ref="BP6:BP69" si="60">BO6*1000</f>
        <v>14.752610688264157</v>
      </c>
      <c r="BQ6" s="538">
        <f t="shared" si="44"/>
        <v>1.7154183680000001E-2</v>
      </c>
      <c r="BR6" s="538"/>
      <c r="BT6" s="469">
        <f t="shared" ref="BT6:BT69" si="61">SUM(BQ6:BS6)*1000</f>
        <v>17.154183679999999</v>
      </c>
      <c r="BU6" s="538">
        <f t="shared" si="45"/>
        <v>2.0400000000000005E-5</v>
      </c>
      <c r="BV6" s="538">
        <f t="shared" si="46"/>
        <v>1.2871871999999998E-3</v>
      </c>
      <c r="BW6" s="538">
        <f t="shared" si="47"/>
        <v>0</v>
      </c>
      <c r="BX6" s="538">
        <f t="shared" si="48"/>
        <v>1.4646508766991073E-3</v>
      </c>
      <c r="BY6" s="538">
        <f t="shared" si="49"/>
        <v>1.0880000000000002E-4</v>
      </c>
      <c r="BZ6" s="469">
        <f t="shared" ref="BZ6:BZ69" si="62">1000*(BX6+BY6)</f>
        <v>1.5734508766991073</v>
      </c>
      <c r="CA6" s="177">
        <f t="shared" ref="CA6:CA69" si="63">SUM(BO6,BQ6:BS6,BX6, BY6)</f>
        <v>3.3480245244963264E-2</v>
      </c>
      <c r="CB6" s="5">
        <f t="shared" ref="CB6:CB69" si="64">MIN(H6,O6)</f>
        <v>3.2000000000000001E-2</v>
      </c>
      <c r="CC6" s="177">
        <f t="shared" ref="CC6:CC69" si="65">CB6/(CB6+CA6)</f>
        <v>0.48869700900305407</v>
      </c>
      <c r="CD6" s="5">
        <f t="shared" ref="CD6:CD69" si="66">CC6*100</f>
        <v>48.869700900305411</v>
      </c>
      <c r="CG6" s="571">
        <f t="shared" si="50"/>
        <v>-50</v>
      </c>
      <c r="CH6">
        <f t="shared" si="51"/>
        <v>-50</v>
      </c>
    </row>
    <row r="7" spans="2:86" x14ac:dyDescent="0.25">
      <c r="E7" s="174">
        <v>2</v>
      </c>
      <c r="F7" s="221">
        <f t="shared" si="52"/>
        <v>4.0000000000000001E-3</v>
      </c>
      <c r="G7" s="221"/>
      <c r="H7" s="221">
        <f t="shared" si="0"/>
        <v>6.4000000000000001E-2</v>
      </c>
      <c r="I7" s="551">
        <f t="shared" si="1"/>
        <v>32</v>
      </c>
      <c r="J7" s="176">
        <f t="shared" si="2"/>
        <v>19.584</v>
      </c>
      <c r="K7" s="451">
        <f t="shared" si="3"/>
        <v>51.584000000000003</v>
      </c>
      <c r="L7" s="451"/>
      <c r="M7" s="221">
        <f t="shared" si="4"/>
        <v>0.37965260545905705</v>
      </c>
      <c r="N7" s="176">
        <f t="shared" si="5"/>
        <v>8.200496277915633</v>
      </c>
      <c r="O7" s="176">
        <f t="shared" si="53"/>
        <v>6.4000000000000001E-2</v>
      </c>
      <c r="P7" s="221">
        <f t="shared" si="6"/>
        <v>0.51253101736972706</v>
      </c>
      <c r="Q7" s="221">
        <f t="shared" si="7"/>
        <v>16</v>
      </c>
      <c r="R7" s="221">
        <f t="shared" si="8"/>
        <v>0.56947890818858549</v>
      </c>
      <c r="S7" s="176">
        <f t="shared" si="9"/>
        <v>5373.3349213276233</v>
      </c>
      <c r="T7" s="176">
        <f t="shared" si="10"/>
        <v>16</v>
      </c>
      <c r="U7" s="221">
        <f t="shared" si="11"/>
        <v>1.1706608569353669E-2</v>
      </c>
      <c r="V7" s="221">
        <f t="shared" si="12"/>
        <v>1.0974945533769064E-2</v>
      </c>
      <c r="W7" s="221">
        <f t="shared" si="13"/>
        <v>1.7932917538838342E-2</v>
      </c>
      <c r="X7" s="201">
        <f t="shared" si="14"/>
        <v>350</v>
      </c>
      <c r="Y7" s="451">
        <f t="shared" si="54"/>
        <v>350</v>
      </c>
      <c r="AA7" s="221">
        <f t="shared" si="15"/>
        <v>1.1570365118752215</v>
      </c>
      <c r="AB7" s="177">
        <f t="shared" si="16"/>
        <v>1.7724211272598367</v>
      </c>
      <c r="AC7" s="177">
        <f t="shared" si="17"/>
        <v>0.4306587513183206</v>
      </c>
      <c r="AD7" s="177"/>
      <c r="AE7" s="177">
        <f t="shared" si="18"/>
        <v>0.4595588235294118</v>
      </c>
      <c r="AF7" s="555">
        <f t="shared" si="19"/>
        <v>48.355555555555561</v>
      </c>
      <c r="AG7" s="538">
        <f t="shared" si="20"/>
        <v>2.8952205882352939E-2</v>
      </c>
      <c r="AI7" s="177">
        <f t="shared" si="21"/>
        <v>0.11754094187079246</v>
      </c>
      <c r="AJ7" s="177">
        <f t="shared" si="22"/>
        <v>0.3</v>
      </c>
      <c r="AK7" s="177">
        <f t="shared" si="23"/>
        <v>1.0276317460317461</v>
      </c>
      <c r="AM7" s="555">
        <f t="shared" si="24"/>
        <v>4</v>
      </c>
      <c r="AN7" s="469">
        <f t="shared" si="25"/>
        <v>48.355555555555561</v>
      </c>
      <c r="AP7">
        <f t="shared" si="26"/>
        <v>4</v>
      </c>
      <c r="AQ7" s="469">
        <f t="shared" si="27"/>
        <v>48.355555555555561</v>
      </c>
      <c r="AR7" s="469"/>
      <c r="AS7" s="5">
        <f t="shared" si="55"/>
        <v>20.680147058823525</v>
      </c>
      <c r="AT7" s="5">
        <f t="shared" si="28"/>
        <v>0.28125</v>
      </c>
      <c r="AU7" s="5">
        <f t="shared" si="56"/>
        <v>20.398897058823525</v>
      </c>
      <c r="AV7" s="5">
        <f t="shared" si="29"/>
        <v>0.4595588235294118</v>
      </c>
      <c r="AW7" s="177">
        <f t="shared" si="57"/>
        <v>1.3600000000000003E-2</v>
      </c>
      <c r="AX7" s="177">
        <f t="shared" si="30"/>
        <v>6.5280000000000019E-2</v>
      </c>
      <c r="AY7" s="177">
        <f t="shared" si="31"/>
        <v>0.17755199999999999</v>
      </c>
      <c r="AZ7" s="177">
        <f t="shared" si="58"/>
        <v>0.36766693701000286</v>
      </c>
      <c r="BA7" s="469">
        <f t="shared" si="32"/>
        <v>6.273549245269658</v>
      </c>
      <c r="BB7" s="469">
        <f t="shared" si="33"/>
        <v>1.2515226666666667E-2</v>
      </c>
      <c r="BC7" s="5">
        <f t="shared" si="34"/>
        <v>2.8331801470588228E-2</v>
      </c>
      <c r="BD7" s="469">
        <f t="shared" si="35"/>
        <v>4.5397549019607837</v>
      </c>
      <c r="BE7" s="5"/>
      <c r="BF7" s="177">
        <f t="shared" si="59"/>
        <v>2.0199009876724159E-2</v>
      </c>
      <c r="BG7" s="177">
        <f t="shared" si="36"/>
        <v>0.20642790509037287</v>
      </c>
      <c r="BH7" s="177"/>
      <c r="BI7" s="538">
        <f t="shared" si="37"/>
        <v>1.4280000000000003E-4</v>
      </c>
      <c r="BJ7" s="538">
        <f t="shared" si="38"/>
        <v>3.7415594666666678E-3</v>
      </c>
      <c r="BK7" s="538">
        <f t="shared" si="39"/>
        <v>6.0444444444444445E-4</v>
      </c>
      <c r="BL7" s="538">
        <f t="shared" si="40"/>
        <v>6.433486784284446E-3</v>
      </c>
      <c r="BM7">
        <f t="shared" si="41"/>
        <v>9.2800000000000001E-3</v>
      </c>
      <c r="BN7">
        <f t="shared" si="42"/>
        <v>3.2640000000000004E-6</v>
      </c>
      <c r="BO7" s="538">
        <f t="shared" si="43"/>
        <v>2.0225365565011953E-2</v>
      </c>
      <c r="BP7" s="469">
        <f t="shared" si="60"/>
        <v>20.225365565011952</v>
      </c>
      <c r="BQ7" s="538">
        <f t="shared" si="44"/>
        <v>1.7805967359999997E-2</v>
      </c>
      <c r="BR7" s="538"/>
      <c r="BT7" s="469">
        <f t="shared" si="61"/>
        <v>17.805967359999997</v>
      </c>
      <c r="BU7" s="538">
        <f t="shared" si="45"/>
        <v>4.0800000000000016E-5</v>
      </c>
      <c r="BV7" s="538">
        <f t="shared" si="46"/>
        <v>1.2783743999999996E-3</v>
      </c>
      <c r="BW7" s="538">
        <f t="shared" si="47"/>
        <v>0</v>
      </c>
      <c r="BX7" s="538">
        <f t="shared" si="48"/>
        <v>1.4776312682673385E-3</v>
      </c>
      <c r="BY7" s="538">
        <f t="shared" si="49"/>
        <v>2.1760000000000003E-4</v>
      </c>
      <c r="BZ7" s="469">
        <f t="shared" si="62"/>
        <v>1.6952312682673387</v>
      </c>
      <c r="CA7" s="177">
        <f t="shared" si="63"/>
        <v>3.9726564193279287E-2</v>
      </c>
      <c r="CB7" s="5">
        <f t="shared" si="64"/>
        <v>6.4000000000000001E-2</v>
      </c>
      <c r="CC7" s="177">
        <f t="shared" si="65"/>
        <v>0.61700684388567384</v>
      </c>
      <c r="CD7" s="5">
        <f t="shared" si="66"/>
        <v>61.700684388567382</v>
      </c>
      <c r="CG7" s="571">
        <f t="shared" si="50"/>
        <v>-50</v>
      </c>
      <c r="CH7">
        <f t="shared" si="51"/>
        <v>-50</v>
      </c>
    </row>
    <row r="8" spans="2:86" x14ac:dyDescent="0.25">
      <c r="E8" s="174">
        <v>3</v>
      </c>
      <c r="F8" s="221">
        <f t="shared" si="52"/>
        <v>6.0000000000000001E-3</v>
      </c>
      <c r="G8" s="221"/>
      <c r="H8" s="221">
        <f t="shared" si="0"/>
        <v>9.6000000000000002E-2</v>
      </c>
      <c r="I8" s="551">
        <f t="shared" si="1"/>
        <v>32</v>
      </c>
      <c r="J8" s="176">
        <f t="shared" si="2"/>
        <v>19.584</v>
      </c>
      <c r="K8" s="451">
        <f t="shared" si="3"/>
        <v>51.584000000000003</v>
      </c>
      <c r="L8" s="451"/>
      <c r="M8" s="221">
        <f t="shared" si="4"/>
        <v>0.37965260545905705</v>
      </c>
      <c r="N8" s="176">
        <f t="shared" si="5"/>
        <v>8.200496277915633</v>
      </c>
      <c r="O8" s="176">
        <f t="shared" si="53"/>
        <v>9.6000000000000002E-2</v>
      </c>
      <c r="P8" s="221">
        <f t="shared" si="6"/>
        <v>0.51253101736972706</v>
      </c>
      <c r="Q8" s="221">
        <f t="shared" si="7"/>
        <v>16</v>
      </c>
      <c r="R8" s="221">
        <f t="shared" si="8"/>
        <v>0.56947890818858549</v>
      </c>
      <c r="S8" s="176">
        <f t="shared" si="9"/>
        <v>3573.3357211776029</v>
      </c>
      <c r="T8" s="176">
        <f t="shared" si="10"/>
        <v>16</v>
      </c>
      <c r="U8" s="221">
        <f t="shared" si="11"/>
        <v>1.7559912854030503E-2</v>
      </c>
      <c r="V8" s="221">
        <f t="shared" si="12"/>
        <v>1.6462418300653595E-2</v>
      </c>
      <c r="W8" s="221">
        <f t="shared" si="13"/>
        <v>2.6899376308257509E-2</v>
      </c>
      <c r="X8" s="201">
        <f t="shared" si="14"/>
        <v>350</v>
      </c>
      <c r="Y8" s="451">
        <f t="shared" si="54"/>
        <v>350</v>
      </c>
      <c r="AA8" s="221">
        <f t="shared" si="15"/>
        <v>1.1570365118752215</v>
      </c>
      <c r="AB8" s="177">
        <f t="shared" si="16"/>
        <v>1.7724211272598367</v>
      </c>
      <c r="AC8" s="177">
        <f t="shared" si="17"/>
        <v>0.4306587513183206</v>
      </c>
      <c r="AD8" s="177"/>
      <c r="AE8" s="177">
        <f t="shared" si="18"/>
        <v>0.4595588235294118</v>
      </c>
      <c r="AF8" s="555">
        <f t="shared" si="19"/>
        <v>72.533333333333346</v>
      </c>
      <c r="AG8" s="538">
        <f t="shared" si="20"/>
        <v>2.8952205882352939E-2</v>
      </c>
      <c r="AI8" s="177">
        <f t="shared" si="21"/>
        <v>0.14395766573478996</v>
      </c>
      <c r="AJ8" s="177">
        <f t="shared" si="22"/>
        <v>0.3</v>
      </c>
      <c r="AK8" s="177">
        <f t="shared" si="23"/>
        <v>1.041447619047619</v>
      </c>
      <c r="AM8" s="555">
        <f t="shared" si="24"/>
        <v>6</v>
      </c>
      <c r="AN8" s="469">
        <f t="shared" si="25"/>
        <v>72.533333333333346</v>
      </c>
      <c r="AP8">
        <f t="shared" si="26"/>
        <v>6</v>
      </c>
      <c r="AQ8" s="469">
        <f t="shared" si="27"/>
        <v>72.533333333333346</v>
      </c>
      <c r="AR8" s="469"/>
      <c r="AS8" s="5">
        <f t="shared" si="55"/>
        <v>13.786764705882351</v>
      </c>
      <c r="AT8" s="5">
        <f t="shared" si="28"/>
        <v>0.28125</v>
      </c>
      <c r="AU8" s="5">
        <f t="shared" si="56"/>
        <v>13.505514705882351</v>
      </c>
      <c r="AV8" s="5">
        <f t="shared" si="29"/>
        <v>0.4595588235294118</v>
      </c>
      <c r="AW8" s="177">
        <f t="shared" si="57"/>
        <v>2.0400000000000001E-2</v>
      </c>
      <c r="AX8" s="177">
        <f t="shared" si="30"/>
        <v>9.7920000000000007E-2</v>
      </c>
      <c r="AY8" s="177">
        <f t="shared" si="31"/>
        <v>0.17632799999999998</v>
      </c>
      <c r="AZ8" s="177">
        <f t="shared" si="58"/>
        <v>0.55532870559412018</v>
      </c>
      <c r="BA8" s="469">
        <f t="shared" si="32"/>
        <v>6.273549245269658</v>
      </c>
      <c r="BB8" s="469">
        <f t="shared" si="33"/>
        <v>1.9159260000000001E-2</v>
      </c>
      <c r="BC8" s="5">
        <f t="shared" si="34"/>
        <v>2.8136488970588232E-2</v>
      </c>
      <c r="BD8" s="469">
        <f t="shared" si="35"/>
        <v>4.5118382352941167</v>
      </c>
      <c r="BE8" s="5"/>
      <c r="BF8" s="177">
        <f t="shared" si="59"/>
        <v>2.4738633753705965E-2</v>
      </c>
      <c r="BG8" s="177">
        <f t="shared" si="36"/>
        <v>0.20571514285535714</v>
      </c>
      <c r="BH8" s="177"/>
      <c r="BI8" s="538">
        <f t="shared" si="37"/>
        <v>2.1420000000000003E-4</v>
      </c>
      <c r="BJ8" s="538">
        <f t="shared" si="38"/>
        <v>5.6123392000000018E-3</v>
      </c>
      <c r="BK8" s="538">
        <f t="shared" si="39"/>
        <v>9.0666666666666673E-4</v>
      </c>
      <c r="BL8" s="538">
        <f t="shared" si="40"/>
        <v>9.6502301764266694E-3</v>
      </c>
      <c r="BM8">
        <f t="shared" si="41"/>
        <v>9.2800000000000001E-3</v>
      </c>
      <c r="BN8">
        <f t="shared" si="42"/>
        <v>4.8960000000000011E-6</v>
      </c>
      <c r="BO8" s="538">
        <f t="shared" si="43"/>
        <v>2.5698264635941926E-2</v>
      </c>
      <c r="BP8" s="469">
        <f t="shared" si="60"/>
        <v>25.698264635941925</v>
      </c>
      <c r="BQ8" s="538">
        <f t="shared" si="44"/>
        <v>1.8457751040000001E-2</v>
      </c>
      <c r="BR8" s="538"/>
      <c r="BT8" s="469">
        <f t="shared" si="61"/>
        <v>18.457751040000002</v>
      </c>
      <c r="BU8" s="538">
        <f t="shared" si="45"/>
        <v>6.120000000000001E-5</v>
      </c>
      <c r="BV8" s="538">
        <f t="shared" si="46"/>
        <v>1.2695615999999998E-3</v>
      </c>
      <c r="BW8" s="538">
        <f t="shared" si="47"/>
        <v>0</v>
      </c>
      <c r="BX8" s="538">
        <f t="shared" si="48"/>
        <v>1.4906116839031559E-3</v>
      </c>
      <c r="BY8" s="538">
        <f t="shared" si="49"/>
        <v>3.2640000000000013E-4</v>
      </c>
      <c r="BZ8" s="469">
        <f t="shared" si="62"/>
        <v>1.817011683903156</v>
      </c>
      <c r="CA8" s="177">
        <f t="shared" si="63"/>
        <v>4.5973027359845084E-2</v>
      </c>
      <c r="CB8" s="5">
        <f t="shared" si="64"/>
        <v>9.6000000000000002E-2</v>
      </c>
      <c r="CC8" s="177">
        <f t="shared" si="65"/>
        <v>0.67618477808942001</v>
      </c>
      <c r="CD8" s="5">
        <f t="shared" si="66"/>
        <v>67.618477808942004</v>
      </c>
      <c r="CG8" s="571">
        <f t="shared" si="50"/>
        <v>-50</v>
      </c>
      <c r="CH8">
        <f t="shared" si="51"/>
        <v>-50</v>
      </c>
    </row>
    <row r="9" spans="2:86" x14ac:dyDescent="0.25">
      <c r="E9" s="174">
        <v>4</v>
      </c>
      <c r="F9" s="221">
        <f t="shared" si="52"/>
        <v>8.0000000000000002E-3</v>
      </c>
      <c r="G9" s="221"/>
      <c r="H9" s="221">
        <f t="shared" si="0"/>
        <v>0.128</v>
      </c>
      <c r="I9" s="551">
        <f t="shared" si="1"/>
        <v>32</v>
      </c>
      <c r="J9" s="176">
        <f t="shared" si="2"/>
        <v>19.584</v>
      </c>
      <c r="K9" s="451">
        <f t="shared" si="3"/>
        <v>51.584000000000003</v>
      </c>
      <c r="L9" s="451"/>
      <c r="M9" s="221">
        <f t="shared" si="4"/>
        <v>0.37965260545905705</v>
      </c>
      <c r="N9" s="176">
        <f t="shared" si="5"/>
        <v>8.200496277915633</v>
      </c>
      <c r="O9" s="176">
        <f t="shared" si="53"/>
        <v>0.128</v>
      </c>
      <c r="P9" s="221">
        <f t="shared" si="6"/>
        <v>0.51253101736972706</v>
      </c>
      <c r="Q9" s="221">
        <f t="shared" si="7"/>
        <v>16</v>
      </c>
      <c r="R9" s="221">
        <f t="shared" si="8"/>
        <v>0.56947890818858549</v>
      </c>
      <c r="S9" s="176">
        <f t="shared" si="9"/>
        <v>2673.3365249674321</v>
      </c>
      <c r="T9" s="176">
        <f t="shared" si="10"/>
        <v>16</v>
      </c>
      <c r="U9" s="221">
        <f t="shared" si="11"/>
        <v>2.3413217138707337E-2</v>
      </c>
      <c r="V9" s="221">
        <f t="shared" si="12"/>
        <v>2.1949891067538127E-2</v>
      </c>
      <c r="W9" s="221">
        <f t="shared" si="13"/>
        <v>3.5865835077676683E-2</v>
      </c>
      <c r="X9" s="201">
        <f t="shared" si="14"/>
        <v>350</v>
      </c>
      <c r="Y9" s="451">
        <f t="shared" si="54"/>
        <v>350</v>
      </c>
      <c r="AA9" s="221">
        <f t="shared" si="15"/>
        <v>1.1570365118752215</v>
      </c>
      <c r="AB9" s="177">
        <f t="shared" si="16"/>
        <v>1.7724211272598367</v>
      </c>
      <c r="AC9" s="177">
        <f t="shared" si="17"/>
        <v>0.4306587513183206</v>
      </c>
      <c r="AD9" s="177"/>
      <c r="AE9" s="177">
        <f t="shared" si="18"/>
        <v>0.4595588235294118</v>
      </c>
      <c r="AF9" s="555">
        <f t="shared" si="19"/>
        <v>96.711111111111123</v>
      </c>
      <c r="AG9" s="538">
        <f t="shared" si="20"/>
        <v>2.8952205882352939E-2</v>
      </c>
      <c r="AI9" s="177">
        <f t="shared" si="21"/>
        <v>0.1662279941277823</v>
      </c>
      <c r="AJ9" s="177">
        <f t="shared" si="22"/>
        <v>0.3</v>
      </c>
      <c r="AK9" s="177">
        <f t="shared" si="23"/>
        <v>1.055263492063492</v>
      </c>
      <c r="AM9" s="555">
        <f t="shared" si="24"/>
        <v>8</v>
      </c>
      <c r="AN9" s="469">
        <f t="shared" si="25"/>
        <v>96.711111111111123</v>
      </c>
      <c r="AP9">
        <f t="shared" si="26"/>
        <v>8</v>
      </c>
      <c r="AQ9" s="469">
        <f t="shared" si="27"/>
        <v>96.711111111111123</v>
      </c>
      <c r="AR9" s="469"/>
      <c r="AS9" s="5">
        <f t="shared" si="55"/>
        <v>10.340073529411763</v>
      </c>
      <c r="AT9" s="5">
        <f t="shared" si="28"/>
        <v>0.28125</v>
      </c>
      <c r="AU9" s="5">
        <f t="shared" si="56"/>
        <v>10.058823529411763</v>
      </c>
      <c r="AV9" s="5">
        <f t="shared" si="29"/>
        <v>0.4595588235294118</v>
      </c>
      <c r="AW9" s="177">
        <f t="shared" si="57"/>
        <v>2.7200000000000005E-2</v>
      </c>
      <c r="AX9" s="177">
        <f t="shared" si="30"/>
        <v>0.13056000000000004</v>
      </c>
      <c r="AY9" s="177">
        <f t="shared" si="31"/>
        <v>0.17510399999999998</v>
      </c>
      <c r="AZ9" s="177">
        <f t="shared" si="58"/>
        <v>0.74561403508771962</v>
      </c>
      <c r="BA9" s="469">
        <f t="shared" si="32"/>
        <v>6.273549245269658</v>
      </c>
      <c r="BB9" s="469">
        <f t="shared" si="33"/>
        <v>2.6060906666666668E-2</v>
      </c>
      <c r="BC9" s="5">
        <f t="shared" si="34"/>
        <v>2.7941176470588226E-2</v>
      </c>
      <c r="BD9" s="469">
        <f t="shared" si="35"/>
        <v>4.4839215686274496</v>
      </c>
      <c r="BE9" s="5"/>
      <c r="BF9" s="177">
        <f t="shared" si="59"/>
        <v>2.8565713714171402E-2</v>
      </c>
      <c r="BG9" s="177">
        <f t="shared" si="36"/>
        <v>0.20499990243900115</v>
      </c>
      <c r="BH9" s="177"/>
      <c r="BI9" s="538">
        <f t="shared" si="37"/>
        <v>2.856E-4</v>
      </c>
      <c r="BJ9" s="538">
        <f t="shared" si="38"/>
        <v>7.4831189333333355E-3</v>
      </c>
      <c r="BK9" s="538">
        <f t="shared" si="39"/>
        <v>1.2088888888888889E-3</v>
      </c>
      <c r="BL9" s="538">
        <f t="shared" si="40"/>
        <v>1.2866973568568892E-2</v>
      </c>
      <c r="BM9">
        <f t="shared" si="41"/>
        <v>9.2800000000000001E-3</v>
      </c>
      <c r="BN9">
        <f t="shared" si="42"/>
        <v>6.5280000000000009E-6</v>
      </c>
      <c r="BO9" s="538">
        <f t="shared" si="43"/>
        <v>3.1171307906752908E-2</v>
      </c>
      <c r="BP9" s="469">
        <f t="shared" si="60"/>
        <v>31.171307906752908</v>
      </c>
      <c r="BQ9" s="538">
        <f t="shared" si="44"/>
        <v>1.9109534720000002E-2</v>
      </c>
      <c r="BR9" s="538"/>
      <c r="BT9" s="469">
        <f t="shared" si="61"/>
        <v>19.109534720000003</v>
      </c>
      <c r="BU9" s="538">
        <f t="shared" si="45"/>
        <v>8.1600000000000018E-5</v>
      </c>
      <c r="BV9" s="538">
        <f t="shared" si="46"/>
        <v>1.2607487999999997E-3</v>
      </c>
      <c r="BW9" s="538">
        <f t="shared" si="47"/>
        <v>0</v>
      </c>
      <c r="BX9" s="538">
        <f t="shared" si="48"/>
        <v>1.5035921236066249E-3</v>
      </c>
      <c r="BY9" s="538">
        <f t="shared" si="49"/>
        <v>4.3520000000000006E-4</v>
      </c>
      <c r="BZ9" s="469">
        <f t="shared" si="62"/>
        <v>1.9387921236066248</v>
      </c>
      <c r="CA9" s="177">
        <f t="shared" si="63"/>
        <v>5.2219634750359525E-2</v>
      </c>
      <c r="CB9" s="5">
        <f t="shared" si="64"/>
        <v>0.128</v>
      </c>
      <c r="CC9" s="177">
        <f t="shared" si="65"/>
        <v>0.71024447573265692</v>
      </c>
      <c r="CD9" s="5">
        <f t="shared" si="66"/>
        <v>71.024447573265689</v>
      </c>
      <c r="CG9" s="571">
        <f t="shared" si="50"/>
        <v>-50</v>
      </c>
      <c r="CH9">
        <f t="shared" si="51"/>
        <v>-50</v>
      </c>
    </row>
    <row r="10" spans="2:86" x14ac:dyDescent="0.25">
      <c r="E10" s="174">
        <v>5</v>
      </c>
      <c r="F10" s="221">
        <f t="shared" si="52"/>
        <v>1.0000000000000002E-2</v>
      </c>
      <c r="G10" s="221"/>
      <c r="H10" s="221">
        <f t="shared" si="0"/>
        <v>0.16000000000000003</v>
      </c>
      <c r="I10" s="551">
        <f t="shared" si="1"/>
        <v>32</v>
      </c>
      <c r="J10" s="176">
        <f t="shared" si="2"/>
        <v>19.584</v>
      </c>
      <c r="K10" s="451">
        <f t="shared" si="3"/>
        <v>51.584000000000003</v>
      </c>
      <c r="L10" s="451"/>
      <c r="M10" s="221">
        <f t="shared" si="4"/>
        <v>0.37965260545905705</v>
      </c>
      <c r="N10" s="176">
        <f t="shared" si="5"/>
        <v>8.200496277915633</v>
      </c>
      <c r="O10" s="176">
        <f t="shared" si="53"/>
        <v>0.16000000000000003</v>
      </c>
      <c r="P10" s="221">
        <f t="shared" si="6"/>
        <v>0.51253101736972706</v>
      </c>
      <c r="Q10" s="221">
        <f t="shared" si="7"/>
        <v>16</v>
      </c>
      <c r="R10" s="221">
        <f t="shared" si="8"/>
        <v>0.56947890818858549</v>
      </c>
      <c r="S10" s="176">
        <f t="shared" si="9"/>
        <v>2133.3373327259264</v>
      </c>
      <c r="T10" s="176">
        <f t="shared" si="10"/>
        <v>16</v>
      </c>
      <c r="U10" s="221">
        <f t="shared" si="11"/>
        <v>2.9266521423384175E-2</v>
      </c>
      <c r="V10" s="221">
        <f t="shared" si="12"/>
        <v>2.7437363834422666E-2</v>
      </c>
      <c r="W10" s="221">
        <f t="shared" si="13"/>
        <v>4.4832293847095854E-2</v>
      </c>
      <c r="X10" s="201">
        <f t="shared" si="14"/>
        <v>350</v>
      </c>
      <c r="Y10" s="451">
        <f t="shared" si="54"/>
        <v>350</v>
      </c>
      <c r="AA10" s="221">
        <f t="shared" si="15"/>
        <v>1.1570365118752215</v>
      </c>
      <c r="AB10" s="177">
        <f t="shared" si="16"/>
        <v>1.7724211272598367</v>
      </c>
      <c r="AC10" s="177">
        <f t="shared" si="17"/>
        <v>0.4306587513183206</v>
      </c>
      <c r="AD10" s="177"/>
      <c r="AE10" s="177">
        <f t="shared" si="18"/>
        <v>0.4595588235294118</v>
      </c>
      <c r="AF10" s="555">
        <f t="shared" si="19"/>
        <v>120.88888888888891</v>
      </c>
      <c r="AG10" s="538">
        <f t="shared" si="20"/>
        <v>2.8952205882352939E-2</v>
      </c>
      <c r="AI10" s="177">
        <f t="shared" si="21"/>
        <v>0.18584854731657857</v>
      </c>
      <c r="AJ10" s="177">
        <f t="shared" si="22"/>
        <v>0.3</v>
      </c>
      <c r="AK10" s="177">
        <f t="shared" si="23"/>
        <v>1.0690793650793651</v>
      </c>
      <c r="AM10" s="555">
        <f t="shared" si="24"/>
        <v>10.000000000000002</v>
      </c>
      <c r="AN10" s="469">
        <f t="shared" si="25"/>
        <v>120.88888888888891</v>
      </c>
      <c r="AP10">
        <f t="shared" si="26"/>
        <v>10.000000000000002</v>
      </c>
      <c r="AQ10" s="469">
        <f t="shared" si="27"/>
        <v>120.88888888888891</v>
      </c>
      <c r="AR10" s="469"/>
      <c r="AS10" s="5">
        <f t="shared" si="55"/>
        <v>8.2720588235294095</v>
      </c>
      <c r="AT10" s="5">
        <f t="shared" si="28"/>
        <v>0.28125</v>
      </c>
      <c r="AU10" s="5">
        <f t="shared" si="56"/>
        <v>7.9908088235294095</v>
      </c>
      <c r="AV10" s="5">
        <f t="shared" si="29"/>
        <v>0.4595588235294118</v>
      </c>
      <c r="AW10" s="177">
        <f t="shared" si="57"/>
        <v>3.4000000000000009E-2</v>
      </c>
      <c r="AX10" s="177">
        <f t="shared" si="30"/>
        <v>0.16320000000000004</v>
      </c>
      <c r="AY10" s="177">
        <f t="shared" si="31"/>
        <v>0.17387999999999998</v>
      </c>
      <c r="AZ10" s="177">
        <f t="shared" si="58"/>
        <v>0.93857832988267809</v>
      </c>
      <c r="BA10" s="469">
        <f t="shared" si="32"/>
        <v>6.273549245269658</v>
      </c>
      <c r="BB10" s="469">
        <f t="shared" si="33"/>
        <v>3.3220166666666676E-2</v>
      </c>
      <c r="BC10" s="5">
        <f t="shared" si="34"/>
        <v>2.774586397058823E-2</v>
      </c>
      <c r="BD10" s="469">
        <f t="shared" si="35"/>
        <v>4.4560049019607835</v>
      </c>
      <c r="BE10" s="5"/>
      <c r="BF10" s="177">
        <f t="shared" si="59"/>
        <v>3.1937438845342628E-2</v>
      </c>
      <c r="BG10" s="177">
        <f t="shared" si="36"/>
        <v>0.20428215781119993</v>
      </c>
      <c r="BH10" s="177"/>
      <c r="BI10" s="538">
        <f t="shared" si="37"/>
        <v>3.5700000000000006E-4</v>
      </c>
      <c r="BJ10" s="538">
        <f t="shared" si="38"/>
        <v>9.3538986666666692E-3</v>
      </c>
      <c r="BK10" s="538">
        <f t="shared" si="39"/>
        <v>1.5111111111111115E-3</v>
      </c>
      <c r="BL10" s="538">
        <f t="shared" si="40"/>
        <v>1.608371696071112E-2</v>
      </c>
      <c r="BM10">
        <f t="shared" si="41"/>
        <v>9.2800000000000001E-3</v>
      </c>
      <c r="BN10">
        <f t="shared" si="42"/>
        <v>8.1600000000000015E-6</v>
      </c>
      <c r="BO10" s="538">
        <f t="shared" si="43"/>
        <v>3.664449538314405E-2</v>
      </c>
      <c r="BP10" s="469">
        <f t="shared" si="60"/>
        <v>36.644495383144047</v>
      </c>
      <c r="BQ10" s="538">
        <f t="shared" si="44"/>
        <v>1.9761318400000002E-2</v>
      </c>
      <c r="BR10" s="538"/>
      <c r="BT10" s="469">
        <f t="shared" si="61"/>
        <v>19.7613184</v>
      </c>
      <c r="BU10" s="538">
        <f t="shared" si="45"/>
        <v>1.0200000000000004E-4</v>
      </c>
      <c r="BV10" s="538">
        <f t="shared" si="46"/>
        <v>1.2519359999999999E-3</v>
      </c>
      <c r="BW10" s="538">
        <f t="shared" si="47"/>
        <v>0</v>
      </c>
      <c r="BX10" s="538">
        <f t="shared" si="48"/>
        <v>1.5165725873778132E-3</v>
      </c>
      <c r="BY10" s="538">
        <f t="shared" si="49"/>
        <v>5.4400000000000021E-4</v>
      </c>
      <c r="BZ10" s="469">
        <f t="shared" si="62"/>
        <v>2.0605725873778131</v>
      </c>
      <c r="CA10" s="177">
        <f t="shared" si="63"/>
        <v>5.8466386370521865E-2</v>
      </c>
      <c r="CB10" s="5">
        <f t="shared" si="64"/>
        <v>0.16000000000000003</v>
      </c>
      <c r="CC10" s="177">
        <f t="shared" si="65"/>
        <v>0.73237811389729268</v>
      </c>
      <c r="CD10" s="5">
        <f t="shared" si="66"/>
        <v>73.237811389729274</v>
      </c>
      <c r="CG10" s="571">
        <f t="shared" si="50"/>
        <v>-50</v>
      </c>
      <c r="CH10">
        <f t="shared" si="51"/>
        <v>-50</v>
      </c>
    </row>
    <row r="11" spans="2:86" x14ac:dyDescent="0.25">
      <c r="E11" s="174">
        <v>6</v>
      </c>
      <c r="F11" s="221">
        <f t="shared" si="52"/>
        <v>1.2E-2</v>
      </c>
      <c r="G11" s="221"/>
      <c r="H11" s="221">
        <f t="shared" si="0"/>
        <v>0.192</v>
      </c>
      <c r="I11" s="551">
        <f t="shared" si="1"/>
        <v>32</v>
      </c>
      <c r="J11" s="176">
        <f t="shared" si="2"/>
        <v>19.584</v>
      </c>
      <c r="K11" s="451">
        <f t="shared" si="3"/>
        <v>51.584000000000003</v>
      </c>
      <c r="L11" s="451"/>
      <c r="M11" s="221">
        <f t="shared" si="4"/>
        <v>0.37965260545905705</v>
      </c>
      <c r="N11" s="176">
        <f t="shared" si="5"/>
        <v>8.200496277915633</v>
      </c>
      <c r="O11" s="176">
        <f t="shared" si="53"/>
        <v>0.192</v>
      </c>
      <c r="P11" s="221">
        <f t="shared" si="6"/>
        <v>0.51253101736972706</v>
      </c>
      <c r="Q11" s="221">
        <f t="shared" si="7"/>
        <v>16</v>
      </c>
      <c r="R11" s="221">
        <f t="shared" si="8"/>
        <v>0.56947890818858549</v>
      </c>
      <c r="S11" s="176">
        <f t="shared" si="9"/>
        <v>1773.3381444821787</v>
      </c>
      <c r="T11" s="176">
        <f t="shared" si="10"/>
        <v>16</v>
      </c>
      <c r="U11" s="221">
        <f t="shared" si="11"/>
        <v>3.5119825708061006E-2</v>
      </c>
      <c r="V11" s="221">
        <f t="shared" si="12"/>
        <v>3.2924836601307191E-2</v>
      </c>
      <c r="W11" s="221">
        <f t="shared" si="13"/>
        <v>5.3798752616515018E-2</v>
      </c>
      <c r="X11" s="201">
        <f t="shared" si="14"/>
        <v>350</v>
      </c>
      <c r="Y11" s="451">
        <f t="shared" si="54"/>
        <v>350</v>
      </c>
      <c r="AA11" s="221">
        <f t="shared" si="15"/>
        <v>1.1570365118752215</v>
      </c>
      <c r="AB11" s="177">
        <f t="shared" si="16"/>
        <v>1.7724211272598367</v>
      </c>
      <c r="AC11" s="177">
        <f t="shared" si="17"/>
        <v>0.4306587513183206</v>
      </c>
      <c r="AD11" s="177"/>
      <c r="AE11" s="177">
        <f t="shared" si="18"/>
        <v>0.4595588235294118</v>
      </c>
      <c r="AF11" s="555">
        <f t="shared" si="19"/>
        <v>145.06666666666669</v>
      </c>
      <c r="AG11" s="538">
        <f t="shared" si="20"/>
        <v>2.8952205882352939E-2</v>
      </c>
      <c r="AI11" s="177">
        <f t="shared" si="21"/>
        <v>0.20358688328971256</v>
      </c>
      <c r="AJ11" s="177">
        <f t="shared" si="22"/>
        <v>0.3</v>
      </c>
      <c r="AK11" s="177">
        <f t="shared" si="23"/>
        <v>1.0828952380952381</v>
      </c>
      <c r="AM11" s="555">
        <f t="shared" si="24"/>
        <v>12</v>
      </c>
      <c r="AN11" s="469">
        <f t="shared" si="25"/>
        <v>145.06666666666669</v>
      </c>
      <c r="AP11">
        <f t="shared" si="26"/>
        <v>12</v>
      </c>
      <c r="AQ11" s="469">
        <f t="shared" si="27"/>
        <v>145.06666666666669</v>
      </c>
      <c r="AR11" s="469"/>
      <c r="AS11" s="5">
        <f t="shared" si="55"/>
        <v>6.8933823529411757</v>
      </c>
      <c r="AT11" s="5">
        <f t="shared" si="28"/>
        <v>0.28125</v>
      </c>
      <c r="AU11" s="5">
        <f t="shared" si="56"/>
        <v>6.6121323529411757</v>
      </c>
      <c r="AV11" s="5">
        <f t="shared" si="29"/>
        <v>0.4595588235294118</v>
      </c>
      <c r="AW11" s="177">
        <f t="shared" si="57"/>
        <v>4.0800000000000003E-2</v>
      </c>
      <c r="AX11" s="177">
        <f t="shared" si="30"/>
        <v>0.19584000000000001</v>
      </c>
      <c r="AY11" s="177">
        <f t="shared" si="31"/>
        <v>0.172656</v>
      </c>
      <c r="AZ11" s="177">
        <f t="shared" si="58"/>
        <v>1.1342785654712262</v>
      </c>
      <c r="BA11" s="469">
        <f t="shared" si="32"/>
        <v>6.273549245269658</v>
      </c>
      <c r="BB11" s="469">
        <f t="shared" si="33"/>
        <v>4.0637039999999999E-2</v>
      </c>
      <c r="BC11" s="5">
        <f t="shared" si="34"/>
        <v>2.7550551470588231E-2</v>
      </c>
      <c r="BD11" s="469">
        <f t="shared" si="35"/>
        <v>4.4280882352941164</v>
      </c>
      <c r="BE11" s="5"/>
      <c r="BF11" s="177">
        <f t="shared" si="59"/>
        <v>3.4985711369071804E-2</v>
      </c>
      <c r="BG11" s="177">
        <f t="shared" si="36"/>
        <v>0.20356188248294424</v>
      </c>
      <c r="BH11" s="177"/>
      <c r="BI11" s="538">
        <f t="shared" si="37"/>
        <v>4.284E-4</v>
      </c>
      <c r="BJ11" s="538">
        <f t="shared" si="38"/>
        <v>1.1224678400000004E-2</v>
      </c>
      <c r="BK11" s="538">
        <f t="shared" si="39"/>
        <v>1.8133333333333335E-3</v>
      </c>
      <c r="BL11" s="538">
        <f t="shared" si="40"/>
        <v>1.9300460352853339E-2</v>
      </c>
      <c r="BM11">
        <f t="shared" si="41"/>
        <v>9.2800000000000001E-3</v>
      </c>
      <c r="BN11">
        <f t="shared" si="42"/>
        <v>9.7920000000000021E-6</v>
      </c>
      <c r="BO11" s="538">
        <f t="shared" si="43"/>
        <v>4.2117827070814788E-2</v>
      </c>
      <c r="BP11" s="469">
        <f t="shared" si="60"/>
        <v>42.117827070814791</v>
      </c>
      <c r="BQ11" s="538">
        <f t="shared" si="44"/>
        <v>2.0413102080000002E-2</v>
      </c>
      <c r="BR11" s="538"/>
      <c r="BT11" s="469">
        <f t="shared" si="61"/>
        <v>20.413102080000002</v>
      </c>
      <c r="BU11" s="538">
        <f t="shared" si="45"/>
        <v>1.2240000000000002E-4</v>
      </c>
      <c r="BV11" s="538">
        <f t="shared" si="46"/>
        <v>1.2431231999999999E-3</v>
      </c>
      <c r="BW11" s="538">
        <f t="shared" si="47"/>
        <v>0</v>
      </c>
      <c r="BX11" s="538">
        <f t="shared" si="48"/>
        <v>1.5295530752167873E-3</v>
      </c>
      <c r="BY11" s="538">
        <f t="shared" si="49"/>
        <v>6.5280000000000026E-4</v>
      </c>
      <c r="BZ11" s="469">
        <f t="shared" si="62"/>
        <v>2.1823530752167875</v>
      </c>
      <c r="CA11" s="177">
        <f t="shared" si="63"/>
        <v>6.4713282226031579E-2</v>
      </c>
      <c r="CB11" s="5">
        <f t="shared" si="64"/>
        <v>0.192</v>
      </c>
      <c r="CC11" s="177">
        <f t="shared" si="65"/>
        <v>0.7479161122288458</v>
      </c>
      <c r="CD11" s="5">
        <f t="shared" si="66"/>
        <v>74.791611222884583</v>
      </c>
      <c r="CG11" s="571">
        <f t="shared" si="50"/>
        <v>-50</v>
      </c>
      <c r="CH11">
        <f t="shared" si="51"/>
        <v>-50</v>
      </c>
    </row>
    <row r="12" spans="2:86" x14ac:dyDescent="0.25">
      <c r="E12" s="174">
        <v>7</v>
      </c>
      <c r="F12" s="221">
        <f t="shared" si="52"/>
        <v>1.4000000000000002E-2</v>
      </c>
      <c r="G12" s="221"/>
      <c r="H12" s="221">
        <f t="shared" si="0"/>
        <v>0.22400000000000003</v>
      </c>
      <c r="I12" s="551">
        <f t="shared" si="1"/>
        <v>32</v>
      </c>
      <c r="J12" s="176">
        <f t="shared" si="2"/>
        <v>19.584</v>
      </c>
      <c r="K12" s="451">
        <f t="shared" si="3"/>
        <v>51.584000000000003</v>
      </c>
      <c r="L12" s="451"/>
      <c r="M12" s="221">
        <f t="shared" si="4"/>
        <v>0.37965260545905705</v>
      </c>
      <c r="N12" s="176">
        <f t="shared" si="5"/>
        <v>8.200496277915633</v>
      </c>
      <c r="O12" s="176">
        <f t="shared" si="53"/>
        <v>0.22400000000000003</v>
      </c>
      <c r="P12" s="221">
        <f t="shared" si="6"/>
        <v>0.51253101736972706</v>
      </c>
      <c r="Q12" s="221">
        <f t="shared" si="7"/>
        <v>16</v>
      </c>
      <c r="R12" s="221">
        <f t="shared" si="8"/>
        <v>0.56947890818858549</v>
      </c>
      <c r="S12" s="176">
        <f t="shared" si="9"/>
        <v>1516.1961031227029</v>
      </c>
      <c r="T12" s="176">
        <f t="shared" si="10"/>
        <v>16</v>
      </c>
      <c r="U12" s="221">
        <f t="shared" si="11"/>
        <v>4.0973129992737847E-2</v>
      </c>
      <c r="V12" s="221">
        <f t="shared" si="12"/>
        <v>3.8412309368191733E-2</v>
      </c>
      <c r="W12" s="221">
        <f t="shared" si="13"/>
        <v>6.2765211385934203E-2</v>
      </c>
      <c r="X12" s="201">
        <f t="shared" si="14"/>
        <v>350</v>
      </c>
      <c r="Y12" s="451">
        <f t="shared" si="54"/>
        <v>350</v>
      </c>
      <c r="AA12" s="221">
        <f t="shared" si="15"/>
        <v>1.1570365118752215</v>
      </c>
      <c r="AB12" s="177">
        <f t="shared" si="16"/>
        <v>1.7724211272598367</v>
      </c>
      <c r="AC12" s="177">
        <f t="shared" si="17"/>
        <v>0.4306587513183206</v>
      </c>
      <c r="AD12" s="177"/>
      <c r="AE12" s="177">
        <f t="shared" si="18"/>
        <v>0.4595588235294118</v>
      </c>
      <c r="AF12" s="555">
        <f t="shared" si="19"/>
        <v>169.2444444444445</v>
      </c>
      <c r="AG12" s="538">
        <f t="shared" si="20"/>
        <v>2.8952205882352939E-2</v>
      </c>
      <c r="AI12" s="177">
        <f t="shared" si="21"/>
        <v>0.21989896669960857</v>
      </c>
      <c r="AJ12" s="177">
        <f t="shared" si="22"/>
        <v>0.3</v>
      </c>
      <c r="AK12" s="177">
        <f t="shared" si="23"/>
        <v>1.0967111111111112</v>
      </c>
      <c r="AM12" s="555">
        <f t="shared" si="24"/>
        <v>14.000000000000002</v>
      </c>
      <c r="AN12" s="469">
        <f t="shared" si="25"/>
        <v>169.2444444444445</v>
      </c>
      <c r="AP12">
        <f t="shared" si="26"/>
        <v>14.000000000000002</v>
      </c>
      <c r="AQ12" s="469">
        <f t="shared" si="27"/>
        <v>169.2444444444445</v>
      </c>
      <c r="AR12" s="469"/>
      <c r="AS12" s="5">
        <f t="shared" si="55"/>
        <v>5.9086134453781494</v>
      </c>
      <c r="AT12" s="5">
        <f t="shared" si="28"/>
        <v>0.28125</v>
      </c>
      <c r="AU12" s="5">
        <f t="shared" si="56"/>
        <v>5.6273634453781494</v>
      </c>
      <c r="AV12" s="5">
        <f t="shared" si="29"/>
        <v>0.4595588235294118</v>
      </c>
      <c r="AW12" s="177">
        <f t="shared" si="57"/>
        <v>4.7600000000000017E-2</v>
      </c>
      <c r="AX12" s="177">
        <f t="shared" si="30"/>
        <v>0.22848000000000007</v>
      </c>
      <c r="AY12" s="177">
        <f t="shared" si="31"/>
        <v>0.171432</v>
      </c>
      <c r="AZ12" s="177">
        <f t="shared" si="58"/>
        <v>1.3327733445331098</v>
      </c>
      <c r="BA12" s="469">
        <f t="shared" si="32"/>
        <v>6.273549245269658</v>
      </c>
      <c r="BB12" s="469">
        <f t="shared" si="33"/>
        <v>4.8311526666666674E-2</v>
      </c>
      <c r="BC12" s="5">
        <f t="shared" si="34"/>
        <v>2.7355238970588225E-2</v>
      </c>
      <c r="BD12" s="469">
        <f t="shared" si="35"/>
        <v>4.4001715686274503</v>
      </c>
      <c r="BE12" s="5"/>
      <c r="BF12" s="177">
        <f t="shared" si="59"/>
        <v>3.7788887255382375E-2</v>
      </c>
      <c r="BG12" s="177">
        <f t="shared" si="36"/>
        <v>0.20283904949491358</v>
      </c>
      <c r="BH12" s="177"/>
      <c r="BI12" s="538">
        <f t="shared" si="37"/>
        <v>4.9980000000000011E-4</v>
      </c>
      <c r="BJ12" s="538">
        <f t="shared" si="38"/>
        <v>1.309545813333334E-2</v>
      </c>
      <c r="BK12" s="538">
        <f t="shared" si="39"/>
        <v>2.1155555555555563E-3</v>
      </c>
      <c r="BL12" s="538">
        <f t="shared" si="40"/>
        <v>2.2517203744995568E-2</v>
      </c>
      <c r="BM12">
        <f t="shared" si="41"/>
        <v>9.2800000000000001E-3</v>
      </c>
      <c r="BN12">
        <f t="shared" si="42"/>
        <v>1.1424000000000004E-5</v>
      </c>
      <c r="BO12" s="538">
        <f t="shared" si="43"/>
        <v>4.7591302975464871E-2</v>
      </c>
      <c r="BP12" s="469">
        <f t="shared" si="60"/>
        <v>47.59130297546487</v>
      </c>
      <c r="BQ12" s="538">
        <f t="shared" si="44"/>
        <v>2.1064885760000002E-2</v>
      </c>
      <c r="BR12" s="538"/>
      <c r="BT12" s="469">
        <f t="shared" si="61"/>
        <v>21.064885760000003</v>
      </c>
      <c r="BU12" s="538">
        <f t="shared" si="45"/>
        <v>1.4280000000000006E-4</v>
      </c>
      <c r="BV12" s="538">
        <f t="shared" si="46"/>
        <v>1.2343104000000001E-3</v>
      </c>
      <c r="BW12" s="538">
        <f t="shared" si="47"/>
        <v>0</v>
      </c>
      <c r="BX12" s="538">
        <f t="shared" si="48"/>
        <v>1.5425335871236143E-3</v>
      </c>
      <c r="BY12" s="538">
        <f t="shared" si="49"/>
        <v>7.6160000000000041E-4</v>
      </c>
      <c r="BZ12" s="469">
        <f t="shared" si="62"/>
        <v>2.3041335871236148</v>
      </c>
      <c r="CA12" s="177">
        <f t="shared" si="63"/>
        <v>7.096032232258849E-2</v>
      </c>
      <c r="CB12" s="5">
        <f t="shared" si="64"/>
        <v>0.22400000000000003</v>
      </c>
      <c r="CC12" s="177">
        <f t="shared" si="65"/>
        <v>0.75942417690681296</v>
      </c>
      <c r="CD12" s="5">
        <f t="shared" si="66"/>
        <v>75.942417690681296</v>
      </c>
      <c r="CG12" s="571">
        <f t="shared" si="50"/>
        <v>-50</v>
      </c>
      <c r="CH12">
        <f t="shared" si="51"/>
        <v>-50</v>
      </c>
    </row>
    <row r="13" spans="2:86" s="77" customFormat="1" x14ac:dyDescent="0.25">
      <c r="E13" s="193">
        <v>8</v>
      </c>
      <c r="F13" s="221">
        <f t="shared" si="52"/>
        <v>1.6E-2</v>
      </c>
      <c r="G13" s="221"/>
      <c r="H13" s="221">
        <f t="shared" si="0"/>
        <v>0.25600000000000001</v>
      </c>
      <c r="I13" s="551">
        <f t="shared" si="1"/>
        <v>32</v>
      </c>
      <c r="J13" s="176">
        <f t="shared" si="2"/>
        <v>19.584</v>
      </c>
      <c r="K13" s="545">
        <f t="shared" si="3"/>
        <v>51.584000000000003</v>
      </c>
      <c r="L13" s="545"/>
      <c r="M13" s="333">
        <f t="shared" si="4"/>
        <v>0.37965260545905705</v>
      </c>
      <c r="N13" s="176">
        <f t="shared" si="5"/>
        <v>8.200496277915633</v>
      </c>
      <c r="O13" s="176">
        <f t="shared" si="53"/>
        <v>0.25600000000000001</v>
      </c>
      <c r="P13" s="333">
        <f t="shared" si="6"/>
        <v>0.51253101736972706</v>
      </c>
      <c r="Q13" s="221">
        <f t="shared" si="7"/>
        <v>16</v>
      </c>
      <c r="R13" s="221">
        <f t="shared" si="8"/>
        <v>0.56947890818858549</v>
      </c>
      <c r="S13" s="176">
        <f t="shared" si="9"/>
        <v>1323.3397801057304</v>
      </c>
      <c r="T13" s="176">
        <f t="shared" si="10"/>
        <v>16</v>
      </c>
      <c r="U13" s="221">
        <f t="shared" si="11"/>
        <v>4.6826434277414675E-2</v>
      </c>
      <c r="V13" s="333">
        <f t="shared" si="12"/>
        <v>4.3899782135076254E-2</v>
      </c>
      <c r="W13" s="221">
        <f t="shared" si="13"/>
        <v>7.1731670155353366E-2</v>
      </c>
      <c r="X13" s="547">
        <f t="shared" si="14"/>
        <v>350</v>
      </c>
      <c r="Y13" s="545">
        <f t="shared" si="54"/>
        <v>350</v>
      </c>
      <c r="AA13" s="333">
        <f t="shared" si="15"/>
        <v>1.1570365118752215</v>
      </c>
      <c r="AB13" s="177">
        <f t="shared" si="16"/>
        <v>1.7724211272598367</v>
      </c>
      <c r="AC13" s="548">
        <f t="shared" si="17"/>
        <v>0.4306587513183206</v>
      </c>
      <c r="AD13" s="548"/>
      <c r="AE13" s="177">
        <f t="shared" si="18"/>
        <v>0.4595588235294118</v>
      </c>
      <c r="AF13" s="555">
        <f t="shared" si="19"/>
        <v>193.42222222222225</v>
      </c>
      <c r="AG13" s="538">
        <f t="shared" si="20"/>
        <v>2.8952205882352939E-2</v>
      </c>
      <c r="AH13"/>
      <c r="AI13" s="177">
        <f t="shared" si="21"/>
        <v>0.23508188374158492</v>
      </c>
      <c r="AJ13" s="177">
        <f t="shared" si="22"/>
        <v>0.3</v>
      </c>
      <c r="AK13" s="177">
        <f t="shared" si="23"/>
        <v>1.1105269841269843</v>
      </c>
      <c r="AM13" s="555">
        <f t="shared" si="24"/>
        <v>16</v>
      </c>
      <c r="AN13" s="469">
        <f t="shared" si="25"/>
        <v>193.42222222222225</v>
      </c>
      <c r="AP13">
        <f t="shared" si="26"/>
        <v>16</v>
      </c>
      <c r="AQ13" s="469">
        <f t="shared" si="27"/>
        <v>193.42222222222225</v>
      </c>
      <c r="AR13" s="469"/>
      <c r="AS13" s="5">
        <f t="shared" si="55"/>
        <v>5.1700367647058814</v>
      </c>
      <c r="AT13" s="5">
        <f t="shared" si="28"/>
        <v>0.28125</v>
      </c>
      <c r="AU13" s="5">
        <f t="shared" si="56"/>
        <v>4.8887867647058814</v>
      </c>
      <c r="AV13" s="5">
        <f t="shared" si="29"/>
        <v>0.4595588235294118</v>
      </c>
      <c r="AW13" s="177">
        <f t="shared" si="57"/>
        <v>5.4400000000000011E-2</v>
      </c>
      <c r="AX13" s="177">
        <f t="shared" si="30"/>
        <v>0.26112000000000007</v>
      </c>
      <c r="AY13" s="177">
        <f t="shared" si="31"/>
        <v>0.170208</v>
      </c>
      <c r="AZ13" s="177">
        <f t="shared" si="58"/>
        <v>1.5341229554427529</v>
      </c>
      <c r="BA13" s="469">
        <f t="shared" si="32"/>
        <v>6.273549245269658</v>
      </c>
      <c r="BB13" s="469">
        <f t="shared" si="33"/>
        <v>5.6243626666666664E-2</v>
      </c>
      <c r="BC13" s="5">
        <f t="shared" si="34"/>
        <v>2.7159926470588229E-2</v>
      </c>
      <c r="BD13" s="469">
        <f t="shared" si="35"/>
        <v>4.3722549019607841</v>
      </c>
      <c r="BE13" s="5"/>
      <c r="BF13" s="177">
        <f t="shared" si="59"/>
        <v>4.0398019753448318E-2</v>
      </c>
      <c r="BG13" s="177">
        <f t="shared" si="36"/>
        <v>0.20211363140570207</v>
      </c>
      <c r="BH13" s="177"/>
      <c r="BI13" s="538">
        <f t="shared" si="37"/>
        <v>5.7120000000000011E-4</v>
      </c>
      <c r="BJ13" s="538">
        <f t="shared" si="38"/>
        <v>1.4966237866666671E-2</v>
      </c>
      <c r="BK13" s="538">
        <f t="shared" si="39"/>
        <v>2.4177777777777778E-3</v>
      </c>
      <c r="BL13" s="538">
        <f t="shared" si="40"/>
        <v>2.5733947137137784E-2</v>
      </c>
      <c r="BM13">
        <f t="shared" si="41"/>
        <v>9.2800000000000001E-3</v>
      </c>
      <c r="BN13">
        <f t="shared" si="42"/>
        <v>1.3056000000000002E-5</v>
      </c>
      <c r="BO13" s="538">
        <f t="shared" si="43"/>
        <v>5.3064923102794315E-2</v>
      </c>
      <c r="BP13" s="469">
        <f t="shared" si="60"/>
        <v>53.064923102794317</v>
      </c>
      <c r="BQ13" s="538">
        <f t="shared" si="44"/>
        <v>2.1716669440000003E-2</v>
      </c>
      <c r="BR13" s="538"/>
      <c r="BT13" s="469">
        <f t="shared" si="61"/>
        <v>21.716669440000004</v>
      </c>
      <c r="BU13" s="538">
        <f t="shared" si="45"/>
        <v>1.6320000000000006E-4</v>
      </c>
      <c r="BV13" s="538">
        <f t="shared" si="46"/>
        <v>1.2254975999999999E-3</v>
      </c>
      <c r="BW13" s="538">
        <f t="shared" si="47"/>
        <v>0</v>
      </c>
      <c r="BX13" s="538">
        <f t="shared" si="48"/>
        <v>1.555514123098361E-3</v>
      </c>
      <c r="BY13" s="538">
        <f t="shared" si="49"/>
        <v>8.7040000000000012E-4</v>
      </c>
      <c r="BZ13" s="469">
        <f t="shared" si="62"/>
        <v>2.425914123098361</v>
      </c>
      <c r="CA13" s="177">
        <f t="shared" si="63"/>
        <v>7.720750666589267E-2</v>
      </c>
      <c r="CB13" s="5">
        <f t="shared" si="64"/>
        <v>0.25600000000000001</v>
      </c>
      <c r="CC13" s="177">
        <f t="shared" si="65"/>
        <v>0.76829001411631259</v>
      </c>
      <c r="CD13" s="5">
        <f t="shared" si="66"/>
        <v>76.829001411631253</v>
      </c>
      <c r="CG13" s="571">
        <f t="shared" si="50"/>
        <v>-50</v>
      </c>
      <c r="CH13">
        <f t="shared" si="51"/>
        <v>-50</v>
      </c>
    </row>
    <row r="14" spans="2:86" x14ac:dyDescent="0.25">
      <c r="E14" s="174">
        <v>9</v>
      </c>
      <c r="F14" s="221">
        <f t="shared" si="52"/>
        <v>1.7999999999999999E-2</v>
      </c>
      <c r="G14" s="221"/>
      <c r="H14" s="221">
        <f t="shared" si="0"/>
        <v>0.28799999999999998</v>
      </c>
      <c r="I14" s="551">
        <f t="shared" si="1"/>
        <v>32</v>
      </c>
      <c r="J14" s="176">
        <f t="shared" si="2"/>
        <v>19.584</v>
      </c>
      <c r="K14" s="451">
        <f t="shared" si="3"/>
        <v>51.584000000000003</v>
      </c>
      <c r="L14" s="451"/>
      <c r="M14" s="221">
        <f t="shared" si="4"/>
        <v>0.37965260545905705</v>
      </c>
      <c r="N14" s="176">
        <f t="shared" si="5"/>
        <v>8.200496277915633</v>
      </c>
      <c r="O14" s="176">
        <f t="shared" si="53"/>
        <v>0.28799999999999998</v>
      </c>
      <c r="P14" s="221">
        <f t="shared" si="6"/>
        <v>0.51253101736972706</v>
      </c>
      <c r="Q14" s="221">
        <f t="shared" si="7"/>
        <v>16</v>
      </c>
      <c r="R14" s="221">
        <f t="shared" si="8"/>
        <v>0.56947890818858549</v>
      </c>
      <c r="S14" s="176">
        <f t="shared" si="9"/>
        <v>1173.3406040326342</v>
      </c>
      <c r="T14" s="176">
        <f t="shared" si="10"/>
        <v>16</v>
      </c>
      <c r="U14" s="221">
        <f t="shared" si="11"/>
        <v>5.2679738562091502E-2</v>
      </c>
      <c r="V14" s="221">
        <f t="shared" si="12"/>
        <v>4.9387254901960782E-2</v>
      </c>
      <c r="W14" s="221">
        <f t="shared" si="13"/>
        <v>8.0698128924772516E-2</v>
      </c>
      <c r="X14" s="201">
        <f t="shared" si="14"/>
        <v>350</v>
      </c>
      <c r="Y14" s="451">
        <f t="shared" si="54"/>
        <v>350</v>
      </c>
      <c r="AA14" s="221">
        <f t="shared" si="15"/>
        <v>1.1570365118752215</v>
      </c>
      <c r="AB14" s="177">
        <f t="shared" si="16"/>
        <v>1.7724211272598367</v>
      </c>
      <c r="AC14" s="177">
        <f t="shared" si="17"/>
        <v>0.4306587513183206</v>
      </c>
      <c r="AD14" s="177"/>
      <c r="AE14" s="177">
        <f t="shared" si="18"/>
        <v>0.4595588235294118</v>
      </c>
      <c r="AF14" s="555">
        <f t="shared" si="19"/>
        <v>217.6</v>
      </c>
      <c r="AG14" s="538">
        <f t="shared" si="20"/>
        <v>2.8952205882352939E-2</v>
      </c>
      <c r="AI14" s="177">
        <f t="shared" si="21"/>
        <v>0.24934199119167344</v>
      </c>
      <c r="AJ14" s="177">
        <f t="shared" si="22"/>
        <v>0.3</v>
      </c>
      <c r="AK14" s="177">
        <f t="shared" si="23"/>
        <v>1.1243428571428571</v>
      </c>
      <c r="AM14" s="555">
        <f t="shared" si="24"/>
        <v>18</v>
      </c>
      <c r="AN14" s="469">
        <f t="shared" si="25"/>
        <v>217.6</v>
      </c>
      <c r="AP14">
        <f t="shared" si="26"/>
        <v>18</v>
      </c>
      <c r="AQ14" s="469">
        <f t="shared" si="27"/>
        <v>217.6</v>
      </c>
      <c r="AR14" s="469"/>
      <c r="AS14" s="5">
        <f t="shared" si="55"/>
        <v>4.5955882352941178</v>
      </c>
      <c r="AT14" s="5">
        <f t="shared" si="28"/>
        <v>0.28125</v>
      </c>
      <c r="AU14" s="5">
        <f t="shared" si="56"/>
        <v>4.3143382352941178</v>
      </c>
      <c r="AV14" s="5">
        <f t="shared" si="29"/>
        <v>0.4595588235294118</v>
      </c>
      <c r="AW14" s="177">
        <f t="shared" si="57"/>
        <v>6.1199999999999997E-2</v>
      </c>
      <c r="AX14" s="177">
        <f t="shared" si="30"/>
        <v>0.29376000000000002</v>
      </c>
      <c r="AY14" s="177">
        <f t="shared" si="31"/>
        <v>0.168984</v>
      </c>
      <c r="AZ14" s="177">
        <f t="shared" si="58"/>
        <v>1.738389433319131</v>
      </c>
      <c r="BA14" s="469">
        <f t="shared" si="32"/>
        <v>6.273549245269658</v>
      </c>
      <c r="BB14" s="469">
        <f t="shared" si="33"/>
        <v>6.4433339999999992E-2</v>
      </c>
      <c r="BC14" s="5">
        <f t="shared" si="34"/>
        <v>2.696461397058823E-2</v>
      </c>
      <c r="BD14" s="469">
        <f t="shared" si="35"/>
        <v>4.3443382352941162</v>
      </c>
      <c r="BE14" s="5"/>
      <c r="BF14" s="177">
        <f t="shared" si="59"/>
        <v>4.2848570571257093E-2</v>
      </c>
      <c r="BG14" s="177">
        <f t="shared" si="36"/>
        <v>0.20138560027966249</v>
      </c>
      <c r="BH14" s="177"/>
      <c r="BI14" s="538">
        <f t="shared" si="37"/>
        <v>6.4259999999999968E-4</v>
      </c>
      <c r="BJ14" s="538">
        <f t="shared" si="38"/>
        <v>1.6837017600000004E-2</v>
      </c>
      <c r="BK14" s="538">
        <f t="shared" si="39"/>
        <v>2.7199999999999998E-3</v>
      </c>
      <c r="BL14" s="538">
        <f t="shared" si="40"/>
        <v>2.8950690529280006E-2</v>
      </c>
      <c r="BM14">
        <f t="shared" si="41"/>
        <v>9.2800000000000001E-3</v>
      </c>
      <c r="BN14">
        <f t="shared" si="42"/>
        <v>1.4688000000000001E-5</v>
      </c>
      <c r="BO14" s="538">
        <f t="shared" si="43"/>
        <v>5.8538687458503484E-2</v>
      </c>
      <c r="BP14" s="469">
        <f t="shared" si="60"/>
        <v>58.538687458503482</v>
      </c>
      <c r="BQ14" s="538">
        <f t="shared" si="44"/>
        <v>2.2368453120000003E-2</v>
      </c>
      <c r="BR14" s="538"/>
      <c r="BT14" s="469">
        <f t="shared" si="61"/>
        <v>22.368453120000002</v>
      </c>
      <c r="BU14" s="538">
        <f t="shared" si="45"/>
        <v>1.8359999999999994E-4</v>
      </c>
      <c r="BV14" s="538">
        <f t="shared" si="46"/>
        <v>1.2166847999999998E-3</v>
      </c>
      <c r="BW14" s="538">
        <f t="shared" si="47"/>
        <v>0</v>
      </c>
      <c r="BX14" s="538">
        <f t="shared" si="48"/>
        <v>1.5684946831410944E-3</v>
      </c>
      <c r="BY14" s="538">
        <f t="shared" si="49"/>
        <v>9.7920000000000017E-4</v>
      </c>
      <c r="BZ14" s="469">
        <f t="shared" si="62"/>
        <v>2.5476946831410947</v>
      </c>
      <c r="CA14" s="177">
        <f t="shared" si="63"/>
        <v>8.3454835261644572E-2</v>
      </c>
      <c r="CB14" s="5">
        <f t="shared" si="64"/>
        <v>0.28799999999999998</v>
      </c>
      <c r="CC14" s="177">
        <f t="shared" si="65"/>
        <v>0.77532979156709358</v>
      </c>
      <c r="CD14" s="5">
        <f t="shared" si="66"/>
        <v>77.532979156709359</v>
      </c>
      <c r="CG14" s="571">
        <f t="shared" si="50"/>
        <v>-50</v>
      </c>
      <c r="CH14">
        <f t="shared" si="51"/>
        <v>-50</v>
      </c>
    </row>
    <row r="15" spans="2:86" x14ac:dyDescent="0.25">
      <c r="E15" s="174">
        <v>10</v>
      </c>
      <c r="F15" s="221">
        <f t="shared" si="52"/>
        <v>2.0000000000000004E-2</v>
      </c>
      <c r="G15" s="221"/>
      <c r="H15" s="221">
        <f t="shared" si="0"/>
        <v>0.32000000000000006</v>
      </c>
      <c r="I15" s="551">
        <f t="shared" si="1"/>
        <v>32</v>
      </c>
      <c r="J15" s="176">
        <f t="shared" si="2"/>
        <v>19.584</v>
      </c>
      <c r="K15" s="451">
        <f t="shared" si="3"/>
        <v>51.584000000000003</v>
      </c>
      <c r="L15" s="451"/>
      <c r="M15" s="221">
        <f t="shared" si="4"/>
        <v>0.37965260545905705</v>
      </c>
      <c r="N15" s="176">
        <f t="shared" si="5"/>
        <v>8.200496277915633</v>
      </c>
      <c r="O15" s="176">
        <f t="shared" si="53"/>
        <v>0.32000000000000006</v>
      </c>
      <c r="P15" s="221">
        <f t="shared" si="6"/>
        <v>0.51253101736972706</v>
      </c>
      <c r="Q15" s="221">
        <f t="shared" si="7"/>
        <v>16</v>
      </c>
      <c r="R15" s="221">
        <f t="shared" si="8"/>
        <v>0.56947890818858549</v>
      </c>
      <c r="S15" s="176">
        <f t="shared" si="9"/>
        <v>1053.3414320765094</v>
      </c>
      <c r="T15" s="176">
        <f t="shared" si="10"/>
        <v>16</v>
      </c>
      <c r="U15" s="221">
        <f t="shared" si="11"/>
        <v>5.853304284676835E-2</v>
      </c>
      <c r="V15" s="221">
        <f t="shared" si="12"/>
        <v>5.4874727668845331E-2</v>
      </c>
      <c r="W15" s="221">
        <f t="shared" si="13"/>
        <v>8.9664587694191708E-2</v>
      </c>
      <c r="X15" s="201">
        <f t="shared" si="14"/>
        <v>350</v>
      </c>
      <c r="Y15" s="451">
        <f t="shared" si="54"/>
        <v>350</v>
      </c>
      <c r="AA15" s="221">
        <f t="shared" si="15"/>
        <v>1.1570365118752215</v>
      </c>
      <c r="AB15" s="177">
        <f t="shared" si="16"/>
        <v>1.7724211272598367</v>
      </c>
      <c r="AC15" s="177">
        <f t="shared" si="17"/>
        <v>0.4306587513183206</v>
      </c>
      <c r="AD15" s="177"/>
      <c r="AE15" s="177">
        <f t="shared" si="18"/>
        <v>0.4595588235294118</v>
      </c>
      <c r="AF15" s="555">
        <f t="shared" si="19"/>
        <v>241.77777777777783</v>
      </c>
      <c r="AG15" s="538">
        <f t="shared" si="20"/>
        <v>2.8952205882352939E-2</v>
      </c>
      <c r="AI15" s="177">
        <f t="shared" si="21"/>
        <v>0.26282953616244331</v>
      </c>
      <c r="AJ15" s="177">
        <f t="shared" si="22"/>
        <v>0.3</v>
      </c>
      <c r="AK15" s="177">
        <f t="shared" si="23"/>
        <v>1.1381587301587301</v>
      </c>
      <c r="AM15" s="555">
        <f t="shared" si="24"/>
        <v>20.000000000000004</v>
      </c>
      <c r="AN15" s="469">
        <f t="shared" si="25"/>
        <v>241.77777777777783</v>
      </c>
      <c r="AP15">
        <f t="shared" si="26"/>
        <v>20.000000000000004</v>
      </c>
      <c r="AQ15" s="469">
        <f t="shared" si="27"/>
        <v>241.77777777777783</v>
      </c>
      <c r="AR15" s="469"/>
      <c r="AS15" s="5">
        <f t="shared" si="55"/>
        <v>4.1360294117647047</v>
      </c>
      <c r="AT15" s="5">
        <f t="shared" si="28"/>
        <v>0.28125</v>
      </c>
      <c r="AU15" s="5">
        <f t="shared" si="56"/>
        <v>3.8547794117647047</v>
      </c>
      <c r="AV15" s="5">
        <f t="shared" si="29"/>
        <v>0.4595588235294118</v>
      </c>
      <c r="AW15" s="177">
        <f t="shared" si="57"/>
        <v>6.8000000000000019E-2</v>
      </c>
      <c r="AX15" s="177">
        <f t="shared" si="30"/>
        <v>0.32640000000000008</v>
      </c>
      <c r="AY15" s="177">
        <f t="shared" si="31"/>
        <v>0.16775999999999999</v>
      </c>
      <c r="AZ15" s="177">
        <f t="shared" si="58"/>
        <v>1.9456366237482123</v>
      </c>
      <c r="BA15" s="469">
        <f t="shared" si="32"/>
        <v>6.273549245269658</v>
      </c>
      <c r="BB15" s="469">
        <f t="shared" si="33"/>
        <v>7.2880666666666677E-2</v>
      </c>
      <c r="BC15" s="5">
        <f t="shared" si="34"/>
        <v>2.676930147058823E-2</v>
      </c>
      <c r="BD15" s="469">
        <f t="shared" si="35"/>
        <v>4.3164215686274501</v>
      </c>
      <c r="BE15" s="5"/>
      <c r="BF15" s="177">
        <f t="shared" si="59"/>
        <v>4.5166359162544863E-2</v>
      </c>
      <c r="BG15" s="177">
        <f t="shared" si="36"/>
        <v>0.20065492767435339</v>
      </c>
      <c r="BH15" s="177"/>
      <c r="BI15" s="538">
        <f t="shared" si="37"/>
        <v>7.1400000000000001E-4</v>
      </c>
      <c r="BJ15" s="538">
        <f t="shared" si="38"/>
        <v>1.8707797333333338E-2</v>
      </c>
      <c r="BK15" s="538">
        <f t="shared" si="39"/>
        <v>3.022222222222223E-3</v>
      </c>
      <c r="BL15" s="538">
        <f t="shared" si="40"/>
        <v>3.2167433921422239E-2</v>
      </c>
      <c r="BM15">
        <f t="shared" si="41"/>
        <v>9.2800000000000001E-3</v>
      </c>
      <c r="BN15">
        <f t="shared" si="42"/>
        <v>1.6320000000000003E-5</v>
      </c>
      <c r="BO15" s="538">
        <f t="shared" si="43"/>
        <v>6.4012596048293027E-2</v>
      </c>
      <c r="BP15" s="469">
        <f t="shared" si="60"/>
        <v>64.012596048293034</v>
      </c>
      <c r="BQ15" s="538">
        <f t="shared" si="44"/>
        <v>2.30202368E-2</v>
      </c>
      <c r="BR15" s="538"/>
      <c r="BT15" s="469">
        <f t="shared" si="61"/>
        <v>23.020236799999999</v>
      </c>
      <c r="BU15" s="538">
        <f t="shared" si="45"/>
        <v>2.0400000000000003E-4</v>
      </c>
      <c r="BV15" s="538">
        <f t="shared" si="46"/>
        <v>1.2078719999999996E-3</v>
      </c>
      <c r="BW15" s="538">
        <f t="shared" si="47"/>
        <v>0</v>
      </c>
      <c r="BX15" s="538">
        <f t="shared" si="48"/>
        <v>1.5814752672518816E-3</v>
      </c>
      <c r="BY15" s="538">
        <f t="shared" si="49"/>
        <v>1.0880000000000004E-3</v>
      </c>
      <c r="BZ15" s="469">
        <f t="shared" si="62"/>
        <v>2.6694752672518822</v>
      </c>
      <c r="CA15" s="177">
        <f t="shared" si="63"/>
        <v>8.9702308115544915E-2</v>
      </c>
      <c r="CB15" s="5">
        <f t="shared" si="64"/>
        <v>0.32000000000000006</v>
      </c>
      <c r="CC15" s="177">
        <f t="shared" si="65"/>
        <v>0.78105491148405515</v>
      </c>
      <c r="CD15" s="5">
        <f t="shared" si="66"/>
        <v>78.10549114840552</v>
      </c>
      <c r="CG15" s="571">
        <f t="shared" si="50"/>
        <v>-50</v>
      </c>
      <c r="CH15">
        <f t="shared" si="51"/>
        <v>-50</v>
      </c>
    </row>
    <row r="16" spans="2:86" x14ac:dyDescent="0.25">
      <c r="E16" s="174">
        <v>11</v>
      </c>
      <c r="F16" s="221">
        <f t="shared" si="52"/>
        <v>2.2000000000000002E-2</v>
      </c>
      <c r="G16" s="221"/>
      <c r="H16" s="221">
        <f t="shared" si="0"/>
        <v>0.35200000000000004</v>
      </c>
      <c r="I16" s="551">
        <f t="shared" si="1"/>
        <v>32</v>
      </c>
      <c r="J16" s="176">
        <f t="shared" si="2"/>
        <v>19.584</v>
      </c>
      <c r="K16" s="451">
        <f t="shared" si="3"/>
        <v>51.584000000000003</v>
      </c>
      <c r="L16" s="451"/>
      <c r="M16" s="221">
        <f t="shared" si="4"/>
        <v>0.37965260545905705</v>
      </c>
      <c r="N16" s="176">
        <f t="shared" si="5"/>
        <v>8.200496277915633</v>
      </c>
      <c r="O16" s="176">
        <f t="shared" si="53"/>
        <v>0.35200000000000004</v>
      </c>
      <c r="P16" s="221">
        <f t="shared" si="6"/>
        <v>0.51253101736972706</v>
      </c>
      <c r="Q16" s="221">
        <f t="shared" si="7"/>
        <v>16</v>
      </c>
      <c r="R16" s="221">
        <f t="shared" si="8"/>
        <v>0.56947890818858549</v>
      </c>
      <c r="S16" s="176">
        <f t="shared" si="9"/>
        <v>955.16044608607081</v>
      </c>
      <c r="T16" s="176">
        <f t="shared" si="10"/>
        <v>16</v>
      </c>
      <c r="U16" s="221">
        <f t="shared" si="11"/>
        <v>6.4386347131445185E-2</v>
      </c>
      <c r="V16" s="221">
        <f t="shared" si="12"/>
        <v>6.036220043572986E-2</v>
      </c>
      <c r="W16" s="221">
        <f t="shared" si="13"/>
        <v>9.8631046463610886E-2</v>
      </c>
      <c r="X16" s="201">
        <f t="shared" si="14"/>
        <v>350</v>
      </c>
      <c r="Y16" s="451">
        <f t="shared" si="54"/>
        <v>350</v>
      </c>
      <c r="AA16" s="221">
        <f t="shared" si="15"/>
        <v>1.1570365118752215</v>
      </c>
      <c r="AB16" s="177">
        <f t="shared" si="16"/>
        <v>1.7724211272598367</v>
      </c>
      <c r="AC16" s="177">
        <f t="shared" si="17"/>
        <v>0.4306587513183206</v>
      </c>
      <c r="AD16" s="177"/>
      <c r="AE16" s="177">
        <f t="shared" si="18"/>
        <v>0.4595588235294118</v>
      </c>
      <c r="AF16" s="555">
        <f t="shared" si="19"/>
        <v>265.95555555555563</v>
      </c>
      <c r="AG16" s="538">
        <f t="shared" si="20"/>
        <v>2.8952205882352939E-2</v>
      </c>
      <c r="AI16" s="177">
        <f t="shared" si="21"/>
        <v>0.27565794308762731</v>
      </c>
      <c r="AJ16" s="177">
        <f t="shared" si="22"/>
        <v>0.3</v>
      </c>
      <c r="AK16" s="177">
        <f t="shared" si="23"/>
        <v>1.1519746031746032</v>
      </c>
      <c r="AM16" s="555">
        <f t="shared" si="24"/>
        <v>22.000000000000004</v>
      </c>
      <c r="AN16" s="469">
        <f t="shared" si="25"/>
        <v>265.95555555555563</v>
      </c>
      <c r="AP16">
        <f t="shared" si="26"/>
        <v>22.000000000000004</v>
      </c>
      <c r="AQ16" s="469">
        <f t="shared" si="27"/>
        <v>265.95555555555563</v>
      </c>
      <c r="AR16" s="469"/>
      <c r="AS16" s="5">
        <f t="shared" si="55"/>
        <v>3.7600267379679133</v>
      </c>
      <c r="AT16" s="5">
        <f t="shared" si="28"/>
        <v>0.28125</v>
      </c>
      <c r="AU16" s="5">
        <f t="shared" si="56"/>
        <v>3.4787767379679133</v>
      </c>
      <c r="AV16" s="5">
        <f t="shared" si="29"/>
        <v>0.4595588235294118</v>
      </c>
      <c r="AW16" s="177">
        <f t="shared" si="57"/>
        <v>7.4800000000000019E-2</v>
      </c>
      <c r="AX16" s="177">
        <f t="shared" si="30"/>
        <v>0.35904000000000008</v>
      </c>
      <c r="AY16" s="177">
        <f t="shared" si="31"/>
        <v>0.16653599999999999</v>
      </c>
      <c r="AZ16" s="177">
        <f t="shared" si="58"/>
        <v>2.155930249315464</v>
      </c>
      <c r="BA16" s="469">
        <f t="shared" si="32"/>
        <v>6.273549245269658</v>
      </c>
      <c r="BB16" s="469">
        <f t="shared" si="33"/>
        <v>8.1585606666666671E-2</v>
      </c>
      <c r="BC16" s="5">
        <f t="shared" si="34"/>
        <v>2.6573988970588224E-2</v>
      </c>
      <c r="BD16" s="469">
        <f t="shared" si="35"/>
        <v>4.288504901960783</v>
      </c>
      <c r="BE16" s="5"/>
      <c r="BF16" s="177">
        <f t="shared" si="59"/>
        <v>4.7370877129308049E-2</v>
      </c>
      <c r="BG16" s="177">
        <f t="shared" si="36"/>
        <v>0.1999215846275734</v>
      </c>
      <c r="BH16" s="177"/>
      <c r="BI16" s="538">
        <f t="shared" si="37"/>
        <v>7.8540000000000012E-4</v>
      </c>
      <c r="BJ16" s="538">
        <f t="shared" si="38"/>
        <v>2.0578577066666676E-2</v>
      </c>
      <c r="BK16" s="538">
        <f t="shared" si="39"/>
        <v>3.324444444444445E-3</v>
      </c>
      <c r="BL16" s="538">
        <f t="shared" si="40"/>
        <v>3.5384177313564455E-2</v>
      </c>
      <c r="BM16">
        <f t="shared" si="41"/>
        <v>9.2800000000000001E-3</v>
      </c>
      <c r="BN16">
        <f t="shared" si="42"/>
        <v>1.7952000000000007E-5</v>
      </c>
      <c r="BO16" s="538">
        <f t="shared" si="43"/>
        <v>6.9486648877863863E-2</v>
      </c>
      <c r="BP16" s="469">
        <f t="shared" si="60"/>
        <v>69.486648877863857</v>
      </c>
      <c r="BQ16" s="538">
        <f t="shared" si="44"/>
        <v>2.367202048E-2</v>
      </c>
      <c r="BR16" s="538"/>
      <c r="BT16" s="469">
        <f t="shared" si="61"/>
        <v>23.67202048</v>
      </c>
      <c r="BU16" s="538">
        <f t="shared" si="45"/>
        <v>2.2440000000000003E-4</v>
      </c>
      <c r="BV16" s="538">
        <f t="shared" si="46"/>
        <v>1.1990591999999998E-3</v>
      </c>
      <c r="BW16" s="538">
        <f t="shared" si="47"/>
        <v>0</v>
      </c>
      <c r="BX16" s="538">
        <f t="shared" si="48"/>
        <v>1.5944558754307902E-3</v>
      </c>
      <c r="BY16" s="538">
        <f t="shared" si="49"/>
        <v>1.1968000000000005E-3</v>
      </c>
      <c r="BZ16" s="469">
        <f t="shared" si="62"/>
        <v>2.7912558754307906</v>
      </c>
      <c r="CA16" s="177">
        <f t="shared" si="63"/>
        <v>9.5949925233294653E-2</v>
      </c>
      <c r="CB16" s="5">
        <f t="shared" si="64"/>
        <v>0.35200000000000004</v>
      </c>
      <c r="CC16" s="177">
        <f t="shared" si="65"/>
        <v>0.78580211798601496</v>
      </c>
      <c r="CD16" s="5">
        <f t="shared" si="66"/>
        <v>78.580211798601496</v>
      </c>
      <c r="CG16" s="571">
        <f t="shared" si="50"/>
        <v>-50</v>
      </c>
      <c r="CH16">
        <f t="shared" si="51"/>
        <v>-50</v>
      </c>
    </row>
    <row r="17" spans="5:86" x14ac:dyDescent="0.25">
      <c r="E17" s="174">
        <v>12</v>
      </c>
      <c r="F17" s="221">
        <f t="shared" si="52"/>
        <v>2.4E-2</v>
      </c>
      <c r="G17" s="221"/>
      <c r="H17" s="221">
        <f t="shared" si="0"/>
        <v>0.38400000000000001</v>
      </c>
      <c r="I17" s="551">
        <f t="shared" si="1"/>
        <v>32</v>
      </c>
      <c r="J17" s="176">
        <f t="shared" si="2"/>
        <v>19.584</v>
      </c>
      <c r="K17" s="451">
        <f t="shared" si="3"/>
        <v>51.584000000000003</v>
      </c>
      <c r="L17" s="451"/>
      <c r="M17" s="221">
        <f t="shared" si="4"/>
        <v>0.37965260545905705</v>
      </c>
      <c r="N17" s="176">
        <f t="shared" si="5"/>
        <v>8.200496277915633</v>
      </c>
      <c r="O17" s="176">
        <f t="shared" si="53"/>
        <v>0.38400000000000001</v>
      </c>
      <c r="P17" s="221">
        <f t="shared" si="6"/>
        <v>0.51253101736972706</v>
      </c>
      <c r="Q17" s="221">
        <f t="shared" si="7"/>
        <v>16</v>
      </c>
      <c r="R17" s="221">
        <f t="shared" si="8"/>
        <v>0.56947890818858549</v>
      </c>
      <c r="S17" s="176">
        <f t="shared" si="9"/>
        <v>873.34310063760336</v>
      </c>
      <c r="T17" s="176">
        <f t="shared" si="10"/>
        <v>16</v>
      </c>
      <c r="U17" s="221">
        <f t="shared" si="11"/>
        <v>7.0239651416122012E-2</v>
      </c>
      <c r="V17" s="221">
        <f t="shared" si="12"/>
        <v>6.5849673202614381E-2</v>
      </c>
      <c r="W17" s="221">
        <f t="shared" si="13"/>
        <v>0.10759750523303004</v>
      </c>
      <c r="X17" s="201">
        <f t="shared" si="14"/>
        <v>350</v>
      </c>
      <c r="Y17" s="451">
        <f t="shared" si="54"/>
        <v>350</v>
      </c>
      <c r="AA17" s="221">
        <f t="shared" si="15"/>
        <v>1.1570365118752215</v>
      </c>
      <c r="AB17" s="177">
        <f t="shared" si="16"/>
        <v>1.7724211272598367</v>
      </c>
      <c r="AC17" s="177">
        <f t="shared" si="17"/>
        <v>0.4306587513183206</v>
      </c>
      <c r="AD17" s="177"/>
      <c r="AE17" s="177">
        <f t="shared" si="18"/>
        <v>0.4595588235294118</v>
      </c>
      <c r="AF17" s="555">
        <f t="shared" si="19"/>
        <v>290.13333333333338</v>
      </c>
      <c r="AG17" s="538">
        <f t="shared" si="20"/>
        <v>2.8952205882352939E-2</v>
      </c>
      <c r="AI17" s="177">
        <f t="shared" si="21"/>
        <v>0.28791533146957993</v>
      </c>
      <c r="AJ17" s="177">
        <f t="shared" si="22"/>
        <v>0.3</v>
      </c>
      <c r="AK17" s="177">
        <f t="shared" si="23"/>
        <v>1.1657904761904763</v>
      </c>
      <c r="AM17" s="555">
        <f t="shared" si="24"/>
        <v>24</v>
      </c>
      <c r="AN17" s="469">
        <f t="shared" si="25"/>
        <v>290.13333333333338</v>
      </c>
      <c r="AP17">
        <f t="shared" si="26"/>
        <v>24</v>
      </c>
      <c r="AQ17" s="469">
        <f t="shared" si="27"/>
        <v>290.13333333333338</v>
      </c>
      <c r="AR17" s="469"/>
      <c r="AS17" s="5">
        <f t="shared" si="55"/>
        <v>3.4466911764705879</v>
      </c>
      <c r="AT17" s="5">
        <f t="shared" si="28"/>
        <v>0.28125</v>
      </c>
      <c r="AU17" s="5">
        <f t="shared" si="56"/>
        <v>3.1654411764705879</v>
      </c>
      <c r="AV17" s="5">
        <f t="shared" si="29"/>
        <v>0.4595588235294118</v>
      </c>
      <c r="AW17" s="177">
        <f t="shared" si="57"/>
        <v>8.1600000000000006E-2</v>
      </c>
      <c r="AX17" s="177">
        <f t="shared" si="30"/>
        <v>0.39168000000000003</v>
      </c>
      <c r="AY17" s="177">
        <f t="shared" si="31"/>
        <v>0.16531199999999999</v>
      </c>
      <c r="AZ17" s="177">
        <f t="shared" si="58"/>
        <v>2.3693379790940772</v>
      </c>
      <c r="BA17" s="469">
        <f t="shared" si="32"/>
        <v>6.273549245269658</v>
      </c>
      <c r="BB17" s="469">
        <f t="shared" si="33"/>
        <v>9.0548160000000003E-2</v>
      </c>
      <c r="BC17" s="5">
        <f t="shared" si="34"/>
        <v>2.6378676470588228E-2</v>
      </c>
      <c r="BD17" s="469">
        <f t="shared" si="35"/>
        <v>4.2605882352941169</v>
      </c>
      <c r="BE17" s="5"/>
      <c r="BF17" s="177">
        <f t="shared" si="59"/>
        <v>4.947726750741193E-2</v>
      </c>
      <c r="BG17" s="177">
        <f t="shared" si="36"/>
        <v>0.19918554164396571</v>
      </c>
      <c r="BH17" s="177"/>
      <c r="BI17" s="538">
        <f t="shared" si="37"/>
        <v>8.5680000000000012E-4</v>
      </c>
      <c r="BJ17" s="538">
        <f t="shared" si="38"/>
        <v>2.2449356800000007E-2</v>
      </c>
      <c r="BK17" s="538">
        <f t="shared" si="39"/>
        <v>3.6266666666666669E-3</v>
      </c>
      <c r="BL17" s="538">
        <f t="shared" si="40"/>
        <v>3.8600920705706677E-2</v>
      </c>
      <c r="BM17">
        <f t="shared" si="41"/>
        <v>9.2800000000000001E-3</v>
      </c>
      <c r="BN17">
        <f t="shared" si="42"/>
        <v>1.9584000000000004E-5</v>
      </c>
      <c r="BO17" s="538">
        <f t="shared" si="43"/>
        <v>7.4960845952917257E-2</v>
      </c>
      <c r="BP17" s="469">
        <f t="shared" si="60"/>
        <v>74.960845952917253</v>
      </c>
      <c r="BQ17" s="538">
        <f t="shared" si="44"/>
        <v>2.432380416E-2</v>
      </c>
      <c r="BR17" s="538"/>
      <c r="BT17" s="469">
        <f t="shared" si="61"/>
        <v>24.323804160000002</v>
      </c>
      <c r="BU17" s="538">
        <f t="shared" si="45"/>
        <v>2.4480000000000004E-4</v>
      </c>
      <c r="BV17" s="538">
        <f t="shared" si="46"/>
        <v>1.1902463999999998E-3</v>
      </c>
      <c r="BW17" s="538">
        <f t="shared" si="47"/>
        <v>0</v>
      </c>
      <c r="BX17" s="538">
        <f t="shared" si="48"/>
        <v>1.6074365076778857E-3</v>
      </c>
      <c r="BY17" s="538">
        <f t="shared" si="49"/>
        <v>1.3056000000000005E-3</v>
      </c>
      <c r="BZ17" s="469">
        <f t="shared" si="62"/>
        <v>2.9130365076778864</v>
      </c>
      <c r="CA17" s="177">
        <f t="shared" si="63"/>
        <v>0.10219768662059515</v>
      </c>
      <c r="CB17" s="5">
        <f t="shared" si="64"/>
        <v>0.38400000000000001</v>
      </c>
      <c r="CC17" s="177">
        <f t="shared" si="65"/>
        <v>0.78980219480076386</v>
      </c>
      <c r="CD17" s="5">
        <f t="shared" si="66"/>
        <v>78.980219480076386</v>
      </c>
      <c r="CG17" s="571">
        <f t="shared" si="50"/>
        <v>-50</v>
      </c>
      <c r="CH17">
        <f t="shared" si="51"/>
        <v>-50</v>
      </c>
    </row>
    <row r="18" spans="5:86" x14ac:dyDescent="0.25">
      <c r="E18" s="174">
        <v>13</v>
      </c>
      <c r="F18" s="221">
        <f t="shared" si="52"/>
        <v>2.6000000000000002E-2</v>
      </c>
      <c r="G18" s="221"/>
      <c r="H18" s="221">
        <f t="shared" si="0"/>
        <v>0.41600000000000004</v>
      </c>
      <c r="I18" s="551">
        <f t="shared" si="1"/>
        <v>32</v>
      </c>
      <c r="J18" s="176">
        <f t="shared" si="2"/>
        <v>19.584</v>
      </c>
      <c r="K18" s="451">
        <f t="shared" si="3"/>
        <v>51.584000000000003</v>
      </c>
      <c r="L18" s="451"/>
      <c r="M18" s="221">
        <f t="shared" si="4"/>
        <v>0.37965260545905705</v>
      </c>
      <c r="N18" s="176">
        <f t="shared" si="5"/>
        <v>8.200496277915633</v>
      </c>
      <c r="O18" s="176">
        <f t="shared" si="53"/>
        <v>0.41600000000000004</v>
      </c>
      <c r="P18" s="221">
        <f t="shared" si="6"/>
        <v>0.51253101736972706</v>
      </c>
      <c r="Q18" s="221">
        <f t="shared" si="7"/>
        <v>16</v>
      </c>
      <c r="R18" s="221">
        <f t="shared" si="8"/>
        <v>0.56947890818858549</v>
      </c>
      <c r="S18" s="176">
        <f t="shared" si="9"/>
        <v>804.11317198601603</v>
      </c>
      <c r="T18" s="176">
        <f t="shared" si="10"/>
        <v>16</v>
      </c>
      <c r="U18" s="221">
        <f t="shared" si="11"/>
        <v>7.6092955700798853E-2</v>
      </c>
      <c r="V18" s="221">
        <f t="shared" si="12"/>
        <v>7.133714596949893E-2</v>
      </c>
      <c r="W18" s="221">
        <f t="shared" si="13"/>
        <v>0.11656396400244923</v>
      </c>
      <c r="X18" s="201">
        <f t="shared" si="14"/>
        <v>350</v>
      </c>
      <c r="Y18" s="451">
        <f t="shared" si="54"/>
        <v>350</v>
      </c>
      <c r="AA18" s="221">
        <f t="shared" si="15"/>
        <v>1.1570365118752215</v>
      </c>
      <c r="AB18" s="177">
        <f t="shared" si="16"/>
        <v>1.7724211272598367</v>
      </c>
      <c r="AC18" s="177">
        <f t="shared" si="17"/>
        <v>0.4306587513183206</v>
      </c>
      <c r="AD18" s="177"/>
      <c r="AE18" s="177">
        <f t="shared" si="18"/>
        <v>0.4595588235294118</v>
      </c>
      <c r="AF18" s="555">
        <f t="shared" si="19"/>
        <v>314.31111111111119</v>
      </c>
      <c r="AG18" s="538">
        <f t="shared" si="20"/>
        <v>2.8952205882352939E-2</v>
      </c>
      <c r="AI18" s="177">
        <f t="shared" si="21"/>
        <v>0.29967177812262302</v>
      </c>
      <c r="AJ18" s="177">
        <f t="shared" si="22"/>
        <v>0.3</v>
      </c>
      <c r="AK18" s="177">
        <f t="shared" si="23"/>
        <v>1.1796063492063493</v>
      </c>
      <c r="AM18" s="555">
        <f t="shared" si="24"/>
        <v>26.000000000000004</v>
      </c>
      <c r="AN18" s="469">
        <f t="shared" si="25"/>
        <v>314.31111111111119</v>
      </c>
      <c r="AP18">
        <f t="shared" si="26"/>
        <v>26.000000000000004</v>
      </c>
      <c r="AQ18" s="469">
        <f t="shared" si="27"/>
        <v>314.31111111111119</v>
      </c>
      <c r="AR18" s="469"/>
      <c r="AS18" s="5">
        <f t="shared" si="55"/>
        <v>3.1815610859728496</v>
      </c>
      <c r="AT18" s="5">
        <f t="shared" si="28"/>
        <v>0.28125</v>
      </c>
      <c r="AU18" s="5">
        <f t="shared" si="56"/>
        <v>2.9003110859728496</v>
      </c>
      <c r="AV18" s="5">
        <f t="shared" si="29"/>
        <v>0.4595588235294118</v>
      </c>
      <c r="AW18" s="177">
        <f t="shared" si="57"/>
        <v>8.8400000000000034E-2</v>
      </c>
      <c r="AX18" s="177">
        <f t="shared" si="30"/>
        <v>0.42432000000000009</v>
      </c>
      <c r="AY18" s="177">
        <f t="shared" si="31"/>
        <v>0.16408799999999998</v>
      </c>
      <c r="AZ18" s="177">
        <f t="shared" si="58"/>
        <v>2.585929501243236</v>
      </c>
      <c r="BA18" s="469">
        <f t="shared" si="32"/>
        <v>6.273549245269658</v>
      </c>
      <c r="BB18" s="469">
        <f t="shared" si="33"/>
        <v>9.9768326666666685E-2</v>
      </c>
      <c r="BC18" s="5">
        <f t="shared" si="34"/>
        <v>2.6183363970588226E-2</v>
      </c>
      <c r="BD18" s="469">
        <f t="shared" si="35"/>
        <v>4.2326715686274499</v>
      </c>
      <c r="BE18" s="5"/>
      <c r="BF18" s="177">
        <f t="shared" si="59"/>
        <v>5.1497572758334935E-2</v>
      </c>
      <c r="BG18" s="177">
        <f t="shared" si="36"/>
        <v>0.19844676868117556</v>
      </c>
      <c r="BH18" s="177"/>
      <c r="BI18" s="538">
        <f t="shared" si="37"/>
        <v>9.2820000000000001E-4</v>
      </c>
      <c r="BJ18" s="538">
        <f t="shared" si="38"/>
        <v>2.4320136533333338E-2</v>
      </c>
      <c r="BK18" s="538">
        <f t="shared" si="39"/>
        <v>3.9288888888888897E-3</v>
      </c>
      <c r="BL18" s="538">
        <f t="shared" si="40"/>
        <v>4.1817664097848907E-2</v>
      </c>
      <c r="BM18">
        <f t="shared" si="41"/>
        <v>9.2800000000000001E-3</v>
      </c>
      <c r="BN18">
        <f t="shared" si="42"/>
        <v>2.1216000000000005E-5</v>
      </c>
      <c r="BO18" s="538">
        <f t="shared" si="43"/>
        <v>8.0435187279154732E-2</v>
      </c>
      <c r="BP18" s="469">
        <f t="shared" si="60"/>
        <v>80.435187279154732</v>
      </c>
      <c r="BQ18" s="538">
        <f t="shared" si="44"/>
        <v>2.4975587840000001E-2</v>
      </c>
      <c r="BR18" s="538"/>
      <c r="BT18" s="469">
        <f t="shared" si="61"/>
        <v>24.975587839999999</v>
      </c>
      <c r="BU18" s="538">
        <f t="shared" si="45"/>
        <v>2.6520000000000005E-4</v>
      </c>
      <c r="BV18" s="538">
        <f t="shared" si="46"/>
        <v>1.1814336E-3</v>
      </c>
      <c r="BW18" s="538">
        <f t="shared" si="47"/>
        <v>0</v>
      </c>
      <c r="BX18" s="538">
        <f t="shared" si="48"/>
        <v>1.620417163993236E-3</v>
      </c>
      <c r="BY18" s="538">
        <f t="shared" si="49"/>
        <v>1.4144000000000006E-3</v>
      </c>
      <c r="BZ18" s="469">
        <f t="shared" si="62"/>
        <v>3.0348171639932366</v>
      </c>
      <c r="CA18" s="177">
        <f t="shared" si="63"/>
        <v>0.10844559228314796</v>
      </c>
      <c r="CB18" s="5">
        <f t="shared" si="64"/>
        <v>0.41600000000000004</v>
      </c>
      <c r="CC18" s="177">
        <f t="shared" si="65"/>
        <v>0.79321860288493329</v>
      </c>
      <c r="CD18" s="5">
        <f t="shared" si="66"/>
        <v>79.321860288493326</v>
      </c>
      <c r="CG18" s="571">
        <f t="shared" si="50"/>
        <v>-50</v>
      </c>
      <c r="CH18">
        <f t="shared" si="51"/>
        <v>-50</v>
      </c>
    </row>
    <row r="19" spans="5:86" x14ac:dyDescent="0.25">
      <c r="E19" s="174">
        <v>14</v>
      </c>
      <c r="F19" s="221">
        <f t="shared" si="52"/>
        <v>2.8000000000000004E-2</v>
      </c>
      <c r="G19" s="221"/>
      <c r="H19" s="221">
        <f t="shared" si="0"/>
        <v>0.44800000000000006</v>
      </c>
      <c r="I19" s="551">
        <f t="shared" si="1"/>
        <v>32</v>
      </c>
      <c r="J19" s="176">
        <f t="shared" si="2"/>
        <v>19.584</v>
      </c>
      <c r="K19" s="451">
        <f t="shared" si="3"/>
        <v>51.584000000000003</v>
      </c>
      <c r="L19" s="451"/>
      <c r="M19" s="221">
        <f t="shared" si="4"/>
        <v>0.37965260545905705</v>
      </c>
      <c r="N19" s="176">
        <f t="shared" si="5"/>
        <v>8.200496277915633</v>
      </c>
      <c r="O19" s="176">
        <f t="shared" si="53"/>
        <v>0.44800000000000006</v>
      </c>
      <c r="P19" s="221">
        <f t="shared" si="6"/>
        <v>0.51253101736972706</v>
      </c>
      <c r="Q19" s="221">
        <f t="shared" si="7"/>
        <v>16</v>
      </c>
      <c r="R19" s="221">
        <f t="shared" si="8"/>
        <v>0.56947890818858549</v>
      </c>
      <c r="S19" s="176">
        <f t="shared" si="9"/>
        <v>744.77335746544554</v>
      </c>
      <c r="T19" s="176">
        <f t="shared" si="10"/>
        <v>16</v>
      </c>
      <c r="U19" s="221">
        <f t="shared" si="11"/>
        <v>8.1946259985475695E-2</v>
      </c>
      <c r="V19" s="221">
        <f t="shared" si="12"/>
        <v>7.6824618736383465E-2</v>
      </c>
      <c r="W19" s="221">
        <f t="shared" si="13"/>
        <v>0.12553042277186841</v>
      </c>
      <c r="X19" s="201">
        <f t="shared" si="14"/>
        <v>350</v>
      </c>
      <c r="Y19" s="451">
        <f t="shared" si="54"/>
        <v>350</v>
      </c>
      <c r="AA19" s="221">
        <f t="shared" si="15"/>
        <v>1.1570365118752215</v>
      </c>
      <c r="AB19" s="177">
        <f t="shared" si="16"/>
        <v>1.7724211272598367</v>
      </c>
      <c r="AC19" s="177">
        <f t="shared" si="17"/>
        <v>0.4306587513183206</v>
      </c>
      <c r="AD19" s="177"/>
      <c r="AE19" s="177">
        <f t="shared" si="18"/>
        <v>0.4595588235294118</v>
      </c>
      <c r="AF19" s="555">
        <f t="shared" si="19"/>
        <v>338.48888888888899</v>
      </c>
      <c r="AG19" s="538">
        <f t="shared" si="20"/>
        <v>2.8952205882352939E-2</v>
      </c>
      <c r="AI19" s="177">
        <f t="shared" si="21"/>
        <v>0.31098410105841601</v>
      </c>
      <c r="AJ19" s="177">
        <f t="shared" si="22"/>
        <v>0.31098410105841601</v>
      </c>
      <c r="AK19" s="177">
        <f t="shared" si="23"/>
        <v>1.1934222222222224</v>
      </c>
      <c r="AM19" s="555">
        <f t="shared" si="24"/>
        <v>28.000000000000004</v>
      </c>
      <c r="AN19" s="469">
        <f t="shared" si="25"/>
        <v>338.48888888888899</v>
      </c>
      <c r="AP19">
        <f t="shared" si="26"/>
        <v>28.000000000000004</v>
      </c>
      <c r="AQ19" s="469">
        <f t="shared" si="27"/>
        <v>338.48888888888899</v>
      </c>
      <c r="AR19" s="469"/>
      <c r="AS19" s="5">
        <f t="shared" si="55"/>
        <v>2.9543067226890747</v>
      </c>
      <c r="AT19" s="5">
        <f t="shared" si="28"/>
        <v>0.29154759474226505</v>
      </c>
      <c r="AU19" s="5">
        <f t="shared" si="56"/>
        <v>2.6627591279468095</v>
      </c>
      <c r="AV19" s="5">
        <f t="shared" si="29"/>
        <v>0.47638495872919118</v>
      </c>
      <c r="AW19" s="177">
        <f t="shared" si="57"/>
        <v>9.8685621402537393E-2</v>
      </c>
      <c r="AX19" s="177">
        <f t="shared" si="30"/>
        <v>0.49103454814814829</v>
      </c>
      <c r="AY19" s="177">
        <f t="shared" si="31"/>
        <v>0.16817666507949405</v>
      </c>
      <c r="AZ19" s="177">
        <f t="shared" si="58"/>
        <v>2.9197543423521046</v>
      </c>
      <c r="BA19" s="469">
        <f t="shared" si="32"/>
        <v>6.273549245269658</v>
      </c>
      <c r="BB19" s="469">
        <f t="shared" si="33"/>
        <v>0.10924610666666668</v>
      </c>
      <c r="BC19" s="5">
        <f t="shared" si="34"/>
        <v>2.5887935966149536E-2</v>
      </c>
      <c r="BD19" s="469">
        <f t="shared" si="35"/>
        <v>4.188736421250594</v>
      </c>
      <c r="BE19" s="5"/>
      <c r="BF19" s="177">
        <f t="shared" si="59"/>
        <v>5.6403298061164939E-2</v>
      </c>
      <c r="BG19" s="177">
        <f t="shared" si="36"/>
        <v>0.20454880886233243</v>
      </c>
      <c r="BH19" s="177"/>
      <c r="BI19" s="538">
        <f t="shared" si="37"/>
        <v>1.1134662112618143E-3</v>
      </c>
      <c r="BJ19" s="538">
        <f t="shared" si="38"/>
        <v>2.7149861836951939E-2</v>
      </c>
      <c r="BK19" s="538">
        <f t="shared" si="39"/>
        <v>4.2311111111111126E-3</v>
      </c>
      <c r="BL19" s="538">
        <f t="shared" si="40"/>
        <v>4.5034407489991136E-2</v>
      </c>
      <c r="BM19">
        <f t="shared" si="41"/>
        <v>9.2800000000000001E-3</v>
      </c>
      <c r="BN19">
        <f t="shared" si="42"/>
        <v>2.2848000000000009E-5</v>
      </c>
      <c r="BO19" s="538">
        <f t="shared" si="43"/>
        <v>8.6999885367176871E-2</v>
      </c>
      <c r="BP19" s="469">
        <f t="shared" si="60"/>
        <v>86.999885367176873</v>
      </c>
      <c r="BQ19" s="538">
        <f t="shared" si="44"/>
        <v>2.6678962209073624E-2</v>
      </c>
      <c r="BR19" s="538"/>
      <c r="BT19" s="469">
        <f t="shared" si="61"/>
        <v>26.678962209073624</v>
      </c>
      <c r="BU19" s="538">
        <f t="shared" si="45"/>
        <v>3.1813320321766124E-4</v>
      </c>
      <c r="BV19" s="538">
        <f t="shared" si="46"/>
        <v>1.25520645620997E-3</v>
      </c>
      <c r="BW19" s="538">
        <f t="shared" si="47"/>
        <v>0</v>
      </c>
      <c r="BX19" s="538">
        <f t="shared" si="48"/>
        <v>1.7623622421117306E-3</v>
      </c>
      <c r="BY19" s="538">
        <f t="shared" si="49"/>
        <v>1.6367818271604941E-3</v>
      </c>
      <c r="BZ19" s="469">
        <f t="shared" si="62"/>
        <v>3.399144069272225</v>
      </c>
      <c r="CA19" s="177">
        <f t="shared" si="63"/>
        <v>0.11707799164552272</v>
      </c>
      <c r="CB19" s="5">
        <f t="shared" si="64"/>
        <v>0.44800000000000006</v>
      </c>
      <c r="CC19" s="177">
        <f t="shared" si="65"/>
        <v>0.7928109157028248</v>
      </c>
      <c r="CD19" s="5">
        <f t="shared" si="66"/>
        <v>79.281091570282484</v>
      </c>
      <c r="CG19" s="571">
        <f t="shared" si="50"/>
        <v>-50</v>
      </c>
      <c r="CH19">
        <f t="shared" si="51"/>
        <v>-50</v>
      </c>
    </row>
    <row r="20" spans="5:86" x14ac:dyDescent="0.25">
      <c r="E20" s="174">
        <v>15</v>
      </c>
      <c r="F20" s="221">
        <f t="shared" si="52"/>
        <v>0.03</v>
      </c>
      <c r="G20" s="221"/>
      <c r="H20" s="221">
        <f t="shared" si="0"/>
        <v>0.48</v>
      </c>
      <c r="I20" s="551">
        <f t="shared" si="1"/>
        <v>32</v>
      </c>
      <c r="J20" s="176">
        <f t="shared" si="2"/>
        <v>19.584</v>
      </c>
      <c r="K20" s="451">
        <f t="shared" si="3"/>
        <v>51.584000000000003</v>
      </c>
      <c r="L20" s="451"/>
      <c r="M20" s="221">
        <f t="shared" si="4"/>
        <v>0.37965260545905705</v>
      </c>
      <c r="N20" s="176">
        <f t="shared" si="5"/>
        <v>8.200496277915633</v>
      </c>
      <c r="O20" s="176">
        <f t="shared" si="53"/>
        <v>0.48</v>
      </c>
      <c r="P20" s="221">
        <f t="shared" si="6"/>
        <v>0.51253101736972706</v>
      </c>
      <c r="Q20" s="221">
        <f t="shared" si="7"/>
        <v>16</v>
      </c>
      <c r="R20" s="221">
        <f t="shared" si="8"/>
        <v>0.56947890818858549</v>
      </c>
      <c r="S20" s="176">
        <f t="shared" si="9"/>
        <v>693.34563512961836</v>
      </c>
      <c r="T20" s="176">
        <f t="shared" si="10"/>
        <v>16</v>
      </c>
      <c r="U20" s="221">
        <f t="shared" si="11"/>
        <v>8.7799564270152508E-2</v>
      </c>
      <c r="V20" s="221">
        <f t="shared" si="12"/>
        <v>8.2312091503267973E-2</v>
      </c>
      <c r="W20" s="221">
        <f t="shared" si="13"/>
        <v>0.13449688154128756</v>
      </c>
      <c r="X20" s="201">
        <f t="shared" si="14"/>
        <v>350</v>
      </c>
      <c r="Y20" s="451">
        <f t="shared" si="54"/>
        <v>350</v>
      </c>
      <c r="AA20" s="221">
        <f t="shared" si="15"/>
        <v>1.1570365118752215</v>
      </c>
      <c r="AB20" s="177">
        <f t="shared" si="16"/>
        <v>1.7724211272598367</v>
      </c>
      <c r="AC20" s="177">
        <f t="shared" si="17"/>
        <v>0.4306587513183206</v>
      </c>
      <c r="AD20" s="177"/>
      <c r="AE20" s="177">
        <f t="shared" si="18"/>
        <v>0.4595588235294118</v>
      </c>
      <c r="AF20" s="555">
        <f t="shared" si="19"/>
        <v>362.66666666666669</v>
      </c>
      <c r="AG20" s="538">
        <f t="shared" si="20"/>
        <v>2.8952205882352939E-2</v>
      </c>
      <c r="AI20" s="177">
        <f t="shared" si="21"/>
        <v>0.32189912646518259</v>
      </c>
      <c r="AJ20" s="177">
        <f t="shared" si="22"/>
        <v>0.32189912646518259</v>
      </c>
      <c r="AK20" s="177">
        <f t="shared" si="23"/>
        <v>1.2145994176434551</v>
      </c>
      <c r="AM20" s="555">
        <f t="shared" si="24"/>
        <v>30</v>
      </c>
      <c r="AN20" s="469">
        <f t="shared" si="25"/>
        <v>350</v>
      </c>
      <c r="AP20">
        <f t="shared" si="26"/>
        <v>30</v>
      </c>
      <c r="AQ20" s="469">
        <f t="shared" si="27"/>
        <v>350</v>
      </c>
      <c r="AR20" s="469"/>
      <c r="AS20" s="5">
        <f t="shared" si="55"/>
        <v>2.8571428571428572</v>
      </c>
      <c r="AT20" s="5">
        <f t="shared" si="28"/>
        <v>0.30178043106110869</v>
      </c>
      <c r="AU20" s="5">
        <f t="shared" si="56"/>
        <v>2.5553624260817487</v>
      </c>
      <c r="AV20" s="5">
        <f t="shared" si="29"/>
        <v>0.49310527951161548</v>
      </c>
      <c r="AW20" s="177">
        <f t="shared" si="57"/>
        <v>0.10562315087138804</v>
      </c>
      <c r="AX20" s="177">
        <f t="shared" si="30"/>
        <v>0.54399999999999993</v>
      </c>
      <c r="AY20" s="177">
        <f t="shared" si="31"/>
        <v>0.17273947587910954</v>
      </c>
      <c r="AZ20" s="177">
        <f t="shared" si="58"/>
        <v>3.1492511901605766</v>
      </c>
      <c r="BA20" s="469">
        <f t="shared" si="32"/>
        <v>6.273549245269658</v>
      </c>
      <c r="BB20" s="469">
        <f t="shared" si="33"/>
        <v>0.11898149999999999</v>
      </c>
      <c r="BC20" s="5">
        <f t="shared" si="34"/>
        <v>2.6618358605018214E-2</v>
      </c>
      <c r="BD20" s="469">
        <f t="shared" si="35"/>
        <v>4.3089373768029144</v>
      </c>
      <c r="BE20" s="5"/>
      <c r="BF20" s="177">
        <f t="shared" si="59"/>
        <v>6.0400249171164322E-2</v>
      </c>
      <c r="BG20" s="177">
        <f t="shared" si="36"/>
        <v>0.21091170928431421</v>
      </c>
      <c r="BH20" s="177"/>
      <c r="BI20" s="538">
        <f t="shared" si="37"/>
        <v>1.2768665349785577E-3</v>
      </c>
      <c r="BJ20" s="538">
        <f t="shared" si="38"/>
        <v>2.9058477944264968E-2</v>
      </c>
      <c r="BK20" s="538">
        <f t="shared" si="39"/>
        <v>4.3749999999999995E-3</v>
      </c>
      <c r="BL20" s="538">
        <f t="shared" si="40"/>
        <v>4.6565908480000008E-2</v>
      </c>
      <c r="BM20">
        <f t="shared" si="41"/>
        <v>9.2800000000000001E-3</v>
      </c>
      <c r="BN20">
        <f t="shared" si="42"/>
        <v>2.3625000000000002E-5</v>
      </c>
      <c r="BO20" s="538">
        <f t="shared" si="43"/>
        <v>9.0773639565738959E-2</v>
      </c>
      <c r="BP20" s="469">
        <f t="shared" si="60"/>
        <v>90.773639565738961</v>
      </c>
      <c r="BQ20" s="538">
        <f t="shared" si="44"/>
        <v>2.8452792161254271E-2</v>
      </c>
      <c r="BR20" s="538"/>
      <c r="BT20" s="469">
        <f t="shared" si="61"/>
        <v>28.452792161254273</v>
      </c>
      <c r="BU20" s="538">
        <f t="shared" si="45"/>
        <v>3.6481900999387368E-4</v>
      </c>
      <c r="BV20" s="538">
        <f t="shared" si="46"/>
        <v>1.3345124733969321E-3</v>
      </c>
      <c r="BW20" s="538">
        <f t="shared" si="47"/>
        <v>0</v>
      </c>
      <c r="BX20" s="538">
        <f t="shared" si="48"/>
        <v>1.903510036960483E-3</v>
      </c>
      <c r="BY20" s="538">
        <f t="shared" si="49"/>
        <v>1.8133333333333335E-3</v>
      </c>
      <c r="BZ20" s="469">
        <f t="shared" si="62"/>
        <v>3.7168433702938164</v>
      </c>
      <c r="CA20" s="177">
        <f t="shared" si="63"/>
        <v>0.12294327509728706</v>
      </c>
      <c r="CB20" s="5">
        <f t="shared" si="64"/>
        <v>0.48</v>
      </c>
      <c r="CC20" s="177">
        <f t="shared" si="65"/>
        <v>0.79609479004894823</v>
      </c>
      <c r="CD20" s="5">
        <f t="shared" si="66"/>
        <v>79.609479004894823</v>
      </c>
      <c r="CG20" s="571">
        <f t="shared" si="50"/>
        <v>-50</v>
      </c>
      <c r="CH20">
        <f t="shared" si="51"/>
        <v>-50</v>
      </c>
    </row>
    <row r="21" spans="5:86" s="77" customFormat="1" x14ac:dyDescent="0.25">
      <c r="E21" s="193">
        <v>16</v>
      </c>
      <c r="F21" s="333">
        <f t="shared" si="52"/>
        <v>3.2000000000000001E-2</v>
      </c>
      <c r="G21" s="221"/>
      <c r="H21" s="221">
        <f t="shared" si="0"/>
        <v>0.51200000000000001</v>
      </c>
      <c r="I21" s="551">
        <f t="shared" si="1"/>
        <v>32</v>
      </c>
      <c r="J21" s="176">
        <f t="shared" si="2"/>
        <v>19.584</v>
      </c>
      <c r="K21" s="545">
        <f t="shared" si="3"/>
        <v>51.584000000000003</v>
      </c>
      <c r="L21" s="545"/>
      <c r="M21" s="333">
        <f t="shared" si="4"/>
        <v>0.37965260545905705</v>
      </c>
      <c r="N21" s="176">
        <f t="shared" si="5"/>
        <v>8.200496277915633</v>
      </c>
      <c r="O21" s="176">
        <f t="shared" si="53"/>
        <v>0.51200000000000001</v>
      </c>
      <c r="P21" s="333">
        <f t="shared" si="6"/>
        <v>0.51253101736972706</v>
      </c>
      <c r="Q21" s="221">
        <f t="shared" si="7"/>
        <v>16</v>
      </c>
      <c r="R21" s="221">
        <f t="shared" si="8"/>
        <v>0.56947890818858549</v>
      </c>
      <c r="S21" s="176">
        <f t="shared" si="9"/>
        <v>648.3464885270796</v>
      </c>
      <c r="T21" s="176">
        <f t="shared" si="10"/>
        <v>16</v>
      </c>
      <c r="U21" s="221">
        <f t="shared" si="11"/>
        <v>9.3652868554829349E-2</v>
      </c>
      <c r="V21" s="333">
        <f t="shared" si="12"/>
        <v>8.7799564270152508E-2</v>
      </c>
      <c r="W21" s="221">
        <f t="shared" si="13"/>
        <v>0.14346334031070673</v>
      </c>
      <c r="X21" s="547">
        <f t="shared" si="14"/>
        <v>350</v>
      </c>
      <c r="Y21" s="545">
        <f t="shared" si="54"/>
        <v>350</v>
      </c>
      <c r="AA21" s="333">
        <f t="shared" si="15"/>
        <v>1.1570365118752215</v>
      </c>
      <c r="AB21" s="177">
        <f t="shared" si="16"/>
        <v>1.7724211272598367</v>
      </c>
      <c r="AC21" s="548">
        <f t="shared" si="17"/>
        <v>0.4306587513183206</v>
      </c>
      <c r="AD21" s="548"/>
      <c r="AE21" s="177">
        <f t="shared" si="18"/>
        <v>0.4595588235294118</v>
      </c>
      <c r="AF21" s="555">
        <f t="shared" si="19"/>
        <v>386.84444444444449</v>
      </c>
      <c r="AG21" s="538">
        <f t="shared" si="20"/>
        <v>2.8952205882352939E-2</v>
      </c>
      <c r="AH21"/>
      <c r="AI21" s="177">
        <f t="shared" si="21"/>
        <v>0.33245598825556461</v>
      </c>
      <c r="AJ21" s="177">
        <f t="shared" si="22"/>
        <v>0.33245598825556461</v>
      </c>
      <c r="AK21" s="177">
        <f t="shared" si="23"/>
        <v>1.2216373255037096</v>
      </c>
      <c r="AM21" s="555">
        <f t="shared" si="24"/>
        <v>32</v>
      </c>
      <c r="AN21" s="469">
        <f t="shared" si="25"/>
        <v>350</v>
      </c>
      <c r="AP21">
        <f t="shared" si="26"/>
        <v>32</v>
      </c>
      <c r="AQ21" s="469">
        <f t="shared" si="27"/>
        <v>350</v>
      </c>
      <c r="AR21" s="469"/>
      <c r="AS21" s="5">
        <f t="shared" si="55"/>
        <v>2.8571428571428572</v>
      </c>
      <c r="AT21" s="5">
        <f t="shared" si="28"/>
        <v>0.3116774889895918</v>
      </c>
      <c r="AU21" s="5">
        <f t="shared" si="56"/>
        <v>2.5454653681532653</v>
      </c>
      <c r="AV21" s="5">
        <f t="shared" si="29"/>
        <v>0.50927694279345059</v>
      </c>
      <c r="AW21" s="177">
        <f t="shared" si="57"/>
        <v>0.10908712114635713</v>
      </c>
      <c r="AX21" s="177">
        <f t="shared" si="30"/>
        <v>0.5802666666666666</v>
      </c>
      <c r="AY21" s="177">
        <f t="shared" si="31"/>
        <v>0.17771359295333874</v>
      </c>
      <c r="AZ21" s="177">
        <f t="shared" si="58"/>
        <v>3.2651788589915234</v>
      </c>
      <c r="BA21" s="469">
        <f t="shared" si="32"/>
        <v>6.273549245269658</v>
      </c>
      <c r="BB21" s="469">
        <f t="shared" si="33"/>
        <v>0.12897450666666666</v>
      </c>
      <c r="BC21" s="5">
        <f t="shared" si="34"/>
        <v>2.8282948535036281E-2</v>
      </c>
      <c r="BD21" s="469">
        <f t="shared" si="35"/>
        <v>4.5786050989391383</v>
      </c>
      <c r="BE21" s="5"/>
      <c r="BF21" s="177">
        <f t="shared" si="59"/>
        <v>6.339576880571185E-2</v>
      </c>
      <c r="BG21" s="177">
        <f t="shared" si="36"/>
        <v>0.21740643628328829</v>
      </c>
      <c r="BH21" s="177"/>
      <c r="BI21" s="538">
        <f t="shared" si="37"/>
        <v>1.4066582258635434E-3</v>
      </c>
      <c r="BJ21" s="538">
        <f t="shared" si="38"/>
        <v>3.001146697180633E-2</v>
      </c>
      <c r="BK21" s="538">
        <f t="shared" si="39"/>
        <v>4.3749999999999995E-3</v>
      </c>
      <c r="BL21" s="538">
        <f t="shared" si="40"/>
        <v>4.6565908480000008E-2</v>
      </c>
      <c r="BM21">
        <f t="shared" si="41"/>
        <v>9.2800000000000001E-3</v>
      </c>
      <c r="BN21">
        <f t="shared" si="42"/>
        <v>2.3625000000000002E-5</v>
      </c>
      <c r="BO21" s="538">
        <f t="shared" si="43"/>
        <v>9.1876402077710972E-2</v>
      </c>
      <c r="BP21" s="469">
        <f t="shared" si="60"/>
        <v>91.876402077710978</v>
      </c>
      <c r="BQ21" s="538">
        <f t="shared" si="44"/>
        <v>3.0279443361286608E-2</v>
      </c>
      <c r="BR21" s="538"/>
      <c r="BT21" s="469">
        <f t="shared" si="61"/>
        <v>30.279443361286607</v>
      </c>
      <c r="BU21" s="538">
        <f t="shared" si="45"/>
        <v>4.0190235024672679E-4</v>
      </c>
      <c r="BV21" s="538">
        <f t="shared" si="46"/>
        <v>1.4179667561219848E-3</v>
      </c>
      <c r="BW21" s="538">
        <f t="shared" si="47"/>
        <v>0</v>
      </c>
      <c r="BX21" s="538">
        <f t="shared" si="48"/>
        <v>2.0385501906940631E-3</v>
      </c>
      <c r="BY21" s="538">
        <f t="shared" si="49"/>
        <v>1.9342222222222219E-3</v>
      </c>
      <c r="BZ21" s="469">
        <f t="shared" si="62"/>
        <v>3.9727724129162847</v>
      </c>
      <c r="CA21" s="177">
        <f t="shared" si="63"/>
        <v>0.12612861785191384</v>
      </c>
      <c r="CB21" s="5">
        <f t="shared" si="64"/>
        <v>0.51200000000000001</v>
      </c>
      <c r="CC21" s="177">
        <f t="shared" si="65"/>
        <v>0.80234608772681049</v>
      </c>
      <c r="CD21" s="5">
        <f t="shared" si="66"/>
        <v>80.234608772681042</v>
      </c>
      <c r="CG21" s="571">
        <f t="shared" si="50"/>
        <v>-50</v>
      </c>
      <c r="CH21">
        <f t="shared" si="51"/>
        <v>-50</v>
      </c>
    </row>
    <row r="22" spans="5:86" x14ac:dyDescent="0.25">
      <c r="E22" s="174">
        <v>17</v>
      </c>
      <c r="F22" s="221">
        <f t="shared" si="52"/>
        <v>3.4000000000000002E-2</v>
      </c>
      <c r="G22" s="221"/>
      <c r="H22" s="221">
        <f t="shared" si="0"/>
        <v>0.54400000000000004</v>
      </c>
      <c r="I22" s="551">
        <f t="shared" si="1"/>
        <v>32</v>
      </c>
      <c r="J22" s="176">
        <f t="shared" si="2"/>
        <v>19.584</v>
      </c>
      <c r="K22" s="451">
        <f t="shared" si="3"/>
        <v>51.584000000000003</v>
      </c>
      <c r="L22" s="451"/>
      <c r="M22" s="221">
        <f t="shared" si="4"/>
        <v>0.37965260545905705</v>
      </c>
      <c r="N22" s="176">
        <f t="shared" si="5"/>
        <v>8.200496277915633</v>
      </c>
      <c r="O22" s="176">
        <f t="shared" si="53"/>
        <v>0.54400000000000004</v>
      </c>
      <c r="P22" s="221">
        <f t="shared" si="6"/>
        <v>0.51253101736972706</v>
      </c>
      <c r="Q22" s="221">
        <f t="shared" si="7"/>
        <v>16</v>
      </c>
      <c r="R22" s="221">
        <f t="shared" si="8"/>
        <v>0.56947890818858549</v>
      </c>
      <c r="S22" s="176">
        <f t="shared" si="9"/>
        <v>608.64146390869564</v>
      </c>
      <c r="T22" s="176">
        <f t="shared" si="10"/>
        <v>16</v>
      </c>
      <c r="U22" s="221">
        <f t="shared" si="11"/>
        <v>9.9506172839506191E-2</v>
      </c>
      <c r="V22" s="221">
        <f t="shared" si="12"/>
        <v>9.3287037037037057E-2</v>
      </c>
      <c r="W22" s="221">
        <f t="shared" si="13"/>
        <v>0.15242979908012591</v>
      </c>
      <c r="X22" s="201">
        <f t="shared" si="14"/>
        <v>350</v>
      </c>
      <c r="Y22" s="451">
        <f t="shared" si="54"/>
        <v>350</v>
      </c>
      <c r="AA22" s="221">
        <f t="shared" si="15"/>
        <v>1.1570365118752215</v>
      </c>
      <c r="AB22" s="177">
        <f t="shared" si="16"/>
        <v>1.7724211272598367</v>
      </c>
      <c r="AC22" s="177">
        <f t="shared" si="17"/>
        <v>0.4306587513183206</v>
      </c>
      <c r="AD22" s="177"/>
      <c r="AE22" s="177">
        <f t="shared" si="18"/>
        <v>0.4595588235294118</v>
      </c>
      <c r="AF22" s="555">
        <f t="shared" si="19"/>
        <v>411.0222222222223</v>
      </c>
      <c r="AG22" s="538">
        <f t="shared" si="20"/>
        <v>2.8952205882352939E-2</v>
      </c>
      <c r="AI22" s="177">
        <f t="shared" si="21"/>
        <v>0.34268778886169932</v>
      </c>
      <c r="AJ22" s="177">
        <f t="shared" si="22"/>
        <v>0.34268778886169932</v>
      </c>
      <c r="AK22" s="177">
        <f t="shared" si="23"/>
        <v>1.2284585259077996</v>
      </c>
      <c r="AM22" s="555">
        <f t="shared" si="24"/>
        <v>34</v>
      </c>
      <c r="AN22" s="469">
        <f t="shared" si="25"/>
        <v>350</v>
      </c>
      <c r="AP22">
        <f t="shared" si="26"/>
        <v>34</v>
      </c>
      <c r="AQ22" s="469">
        <f t="shared" si="27"/>
        <v>350</v>
      </c>
      <c r="AR22" s="469"/>
      <c r="AS22" s="5">
        <f t="shared" si="55"/>
        <v>2.8571428571428572</v>
      </c>
      <c r="AT22" s="5">
        <f t="shared" si="28"/>
        <v>0.32126980205784311</v>
      </c>
      <c r="AU22" s="5">
        <f t="shared" si="56"/>
        <v>2.5358730550850139</v>
      </c>
      <c r="AV22" s="5">
        <f t="shared" si="29"/>
        <v>0.52495065695725995</v>
      </c>
      <c r="AW22" s="177">
        <f t="shared" si="57"/>
        <v>0.11244443072024508</v>
      </c>
      <c r="AX22" s="177">
        <f t="shared" si="30"/>
        <v>0.61653333333333327</v>
      </c>
      <c r="AY22" s="177">
        <f t="shared" si="31"/>
        <v>0.18249267331701957</v>
      </c>
      <c r="AZ22" s="177">
        <f t="shared" si="58"/>
        <v>3.378400470151008</v>
      </c>
      <c r="BA22" s="469">
        <f t="shared" si="32"/>
        <v>6.273549245269658</v>
      </c>
      <c r="BB22" s="469">
        <f t="shared" si="33"/>
        <v>0.13922512666666667</v>
      </c>
      <c r="BC22" s="5">
        <f t="shared" si="34"/>
        <v>2.9937390233642523E-2</v>
      </c>
      <c r="BD22" s="469">
        <f t="shared" si="35"/>
        <v>4.8466491040494706</v>
      </c>
      <c r="BE22" s="5"/>
      <c r="BF22" s="177">
        <f t="shared" si="59"/>
        <v>6.6344813405597905E-2</v>
      </c>
      <c r="BG22" s="177">
        <f t="shared" si="36"/>
        <v>0.22367478302655375</v>
      </c>
      <c r="BH22" s="177"/>
      <c r="BI22" s="538">
        <f t="shared" si="37"/>
        <v>1.5405719930382611E-3</v>
      </c>
      <c r="BJ22" s="538">
        <f t="shared" si="38"/>
        <v>3.0935112076123324E-2</v>
      </c>
      <c r="BK22" s="538">
        <f t="shared" si="39"/>
        <v>4.3749999999999995E-3</v>
      </c>
      <c r="BL22" s="538">
        <f t="shared" si="40"/>
        <v>4.6565908480000008E-2</v>
      </c>
      <c r="BM22">
        <f t="shared" si="41"/>
        <v>9.2800000000000001E-3</v>
      </c>
      <c r="BN22">
        <f t="shared" si="42"/>
        <v>2.3625000000000002E-5</v>
      </c>
      <c r="BO22" s="538">
        <f t="shared" si="43"/>
        <v>9.2954615772954344E-2</v>
      </c>
      <c r="BP22" s="469">
        <f t="shared" si="60"/>
        <v>92.954615772954341</v>
      </c>
      <c r="BQ22" s="538">
        <f t="shared" si="44"/>
        <v>3.2099616070674797E-2</v>
      </c>
      <c r="BR22" s="538"/>
      <c r="BT22" s="469">
        <f t="shared" si="61"/>
        <v>32.099616070674799</v>
      </c>
      <c r="BU22" s="538">
        <f t="shared" si="45"/>
        <v>4.4016342658236034E-4</v>
      </c>
      <c r="BV22" s="538">
        <f t="shared" si="46"/>
        <v>1.5009122568592768E-3</v>
      </c>
      <c r="BW22" s="538">
        <f t="shared" si="47"/>
        <v>0</v>
      </c>
      <c r="BX22" s="538">
        <f t="shared" si="48"/>
        <v>2.1743424105090752E-3</v>
      </c>
      <c r="BY22" s="538">
        <f t="shared" si="49"/>
        <v>2.0551111111111109E-3</v>
      </c>
      <c r="BZ22" s="469">
        <f t="shared" si="62"/>
        <v>4.2294535216201856</v>
      </c>
      <c r="CA22" s="177">
        <f t="shared" si="63"/>
        <v>0.12928368536524931</v>
      </c>
      <c r="CB22" s="5">
        <f t="shared" si="64"/>
        <v>0.54400000000000004</v>
      </c>
      <c r="CC22" s="177">
        <f t="shared" si="65"/>
        <v>0.80798036819336527</v>
      </c>
      <c r="CD22" s="5">
        <f t="shared" si="66"/>
        <v>80.798036819336531</v>
      </c>
      <c r="CG22" s="571">
        <f t="shared" si="50"/>
        <v>-50</v>
      </c>
      <c r="CH22">
        <f t="shared" si="51"/>
        <v>-50</v>
      </c>
    </row>
    <row r="23" spans="5:86" x14ac:dyDescent="0.25">
      <c r="E23" s="174">
        <v>18</v>
      </c>
      <c r="F23" s="221">
        <f t="shared" si="52"/>
        <v>3.5999999999999997E-2</v>
      </c>
      <c r="G23" s="221"/>
      <c r="H23" s="221">
        <f t="shared" si="0"/>
        <v>0.57599999999999996</v>
      </c>
      <c r="I23" s="551">
        <f t="shared" si="1"/>
        <v>32</v>
      </c>
      <c r="J23" s="176">
        <f t="shared" si="2"/>
        <v>19.584</v>
      </c>
      <c r="K23" s="451">
        <f t="shared" si="3"/>
        <v>51.584000000000003</v>
      </c>
      <c r="L23" s="451"/>
      <c r="M23" s="221">
        <f t="shared" si="4"/>
        <v>0.37965260545905705</v>
      </c>
      <c r="N23" s="176">
        <f t="shared" si="5"/>
        <v>8.200496277915633</v>
      </c>
      <c r="O23" s="176">
        <f t="shared" si="53"/>
        <v>0.57599999999999996</v>
      </c>
      <c r="P23" s="221">
        <f t="shared" si="6"/>
        <v>0.51253101736972706</v>
      </c>
      <c r="Q23" s="221">
        <f t="shared" si="7"/>
        <v>16</v>
      </c>
      <c r="R23" s="221">
        <f t="shared" si="8"/>
        <v>0.56947890818858549</v>
      </c>
      <c r="S23" s="176">
        <f t="shared" si="9"/>
        <v>573.34820836598965</v>
      </c>
      <c r="T23" s="176">
        <f t="shared" si="10"/>
        <v>16</v>
      </c>
      <c r="U23" s="221">
        <f t="shared" si="11"/>
        <v>0.105359477124183</v>
      </c>
      <c r="V23" s="221">
        <f t="shared" si="12"/>
        <v>9.8774509803921565E-2</v>
      </c>
      <c r="W23" s="221">
        <f t="shared" si="13"/>
        <v>0.16139625784954503</v>
      </c>
      <c r="X23" s="201">
        <f t="shared" si="14"/>
        <v>350</v>
      </c>
      <c r="Y23" s="451">
        <f t="shared" si="54"/>
        <v>350</v>
      </c>
      <c r="AA23" s="221">
        <f t="shared" si="15"/>
        <v>1.1570365118752215</v>
      </c>
      <c r="AB23" s="177">
        <f t="shared" si="16"/>
        <v>1.7724211272598367</v>
      </c>
      <c r="AC23" s="177">
        <f t="shared" si="17"/>
        <v>0.4306587513183206</v>
      </c>
      <c r="AD23" s="177"/>
      <c r="AE23" s="177">
        <f t="shared" si="18"/>
        <v>0.4595588235294118</v>
      </c>
      <c r="AF23" s="555">
        <f t="shared" si="19"/>
        <v>435.2</v>
      </c>
      <c r="AG23" s="538">
        <f t="shared" si="20"/>
        <v>2.8952205882352939E-2</v>
      </c>
      <c r="AI23" s="177">
        <f t="shared" si="21"/>
        <v>0.3526228256123774</v>
      </c>
      <c r="AJ23" s="177">
        <f t="shared" si="22"/>
        <v>0.3526228256123774</v>
      </c>
      <c r="AK23" s="177">
        <f t="shared" si="23"/>
        <v>1.2350818837415849</v>
      </c>
      <c r="AM23" s="555">
        <f t="shared" si="24"/>
        <v>36</v>
      </c>
      <c r="AN23" s="469">
        <f t="shared" si="25"/>
        <v>350</v>
      </c>
      <c r="AP23">
        <f t="shared" si="26"/>
        <v>36</v>
      </c>
      <c r="AQ23" s="469">
        <f t="shared" si="27"/>
        <v>350</v>
      </c>
      <c r="AR23" s="469"/>
      <c r="AS23" s="5">
        <f t="shared" si="55"/>
        <v>2.8571428571428572</v>
      </c>
      <c r="AT23" s="5">
        <f t="shared" si="28"/>
        <v>0.33058389901160384</v>
      </c>
      <c r="AU23" s="5">
        <f t="shared" si="56"/>
        <v>2.5265589581312535</v>
      </c>
      <c r="AV23" s="5">
        <f t="shared" si="29"/>
        <v>0.54016976962680363</v>
      </c>
      <c r="AW23" s="177">
        <f t="shared" si="57"/>
        <v>0.11570436465406134</v>
      </c>
      <c r="AX23" s="177">
        <f t="shared" si="30"/>
        <v>0.65279999999999994</v>
      </c>
      <c r="AY23" s="177">
        <f t="shared" si="31"/>
        <v>0.18709369536742643</v>
      </c>
      <c r="AZ23" s="177">
        <f t="shared" si="58"/>
        <v>3.4891608651910477</v>
      </c>
      <c r="BA23" s="469">
        <f t="shared" si="32"/>
        <v>6.273549245269658</v>
      </c>
      <c r="BB23" s="469">
        <f t="shared" si="33"/>
        <v>0.14973335999999998</v>
      </c>
      <c r="BC23" s="5">
        <f t="shared" si="34"/>
        <v>3.1581986976640664E-2</v>
      </c>
      <c r="BD23" s="469">
        <f t="shared" si="35"/>
        <v>5.1131179162625067</v>
      </c>
      <c r="BE23" s="5"/>
      <c r="BF23" s="177">
        <f t="shared" si="59"/>
        <v>6.9250779261524065E-2</v>
      </c>
      <c r="BG23" s="177">
        <f t="shared" si="36"/>
        <v>0.22973638373531219</v>
      </c>
      <c r="BH23" s="177"/>
      <c r="BI23" s="538">
        <f t="shared" si="37"/>
        <v>1.6784846499149158E-3</v>
      </c>
      <c r="BJ23" s="538">
        <f t="shared" si="38"/>
        <v>3.1831967713680541E-2</v>
      </c>
      <c r="BK23" s="538">
        <f t="shared" si="39"/>
        <v>4.3749999999999995E-3</v>
      </c>
      <c r="BL23" s="538">
        <f t="shared" si="40"/>
        <v>4.6565908480000008E-2</v>
      </c>
      <c r="BM23">
        <f t="shared" si="41"/>
        <v>9.2800000000000001E-3</v>
      </c>
      <c r="BN23">
        <f t="shared" si="42"/>
        <v>2.3625000000000002E-5</v>
      </c>
      <c r="BO23" s="538">
        <f t="shared" si="43"/>
        <v>9.4010694542507836E-2</v>
      </c>
      <c r="BP23" s="469">
        <f t="shared" si="60"/>
        <v>94.010694542507835</v>
      </c>
      <c r="BQ23" s="538">
        <f t="shared" si="44"/>
        <v>3.3913503896499435E-2</v>
      </c>
      <c r="BR23" s="538"/>
      <c r="BT23" s="469">
        <f t="shared" si="61"/>
        <v>33.913503896499435</v>
      </c>
      <c r="BU23" s="538">
        <f t="shared" si="45"/>
        <v>4.7956704283283317E-4</v>
      </c>
      <c r="BV23" s="538">
        <f t="shared" si="46"/>
        <v>1.5833641803533584E-3</v>
      </c>
      <c r="BW23" s="538">
        <f t="shared" si="47"/>
        <v>0</v>
      </c>
      <c r="BX23" s="538">
        <f t="shared" si="48"/>
        <v>2.3108643423048777E-3</v>
      </c>
      <c r="BY23" s="538">
        <f t="shared" si="49"/>
        <v>2.1759999999999995E-3</v>
      </c>
      <c r="BZ23" s="469">
        <f t="shared" si="62"/>
        <v>4.4868643423048775</v>
      </c>
      <c r="CA23" s="177">
        <f t="shared" si="63"/>
        <v>0.13241106278131215</v>
      </c>
      <c r="CB23" s="5">
        <f t="shared" si="64"/>
        <v>0.57599999999999996</v>
      </c>
      <c r="CC23" s="177">
        <f t="shared" si="65"/>
        <v>0.81308724589724868</v>
      </c>
      <c r="CD23" s="5">
        <f t="shared" si="66"/>
        <v>81.308724589724875</v>
      </c>
      <c r="CG23" s="571">
        <f t="shared" si="50"/>
        <v>-50</v>
      </c>
      <c r="CH23">
        <f t="shared" si="51"/>
        <v>-50</v>
      </c>
    </row>
    <row r="24" spans="5:86" x14ac:dyDescent="0.25">
      <c r="E24" s="174">
        <v>19</v>
      </c>
      <c r="F24" s="221">
        <f t="shared" si="52"/>
        <v>3.8000000000000006E-2</v>
      </c>
      <c r="G24" s="221"/>
      <c r="H24" s="221">
        <f t="shared" si="0"/>
        <v>0.6080000000000001</v>
      </c>
      <c r="I24" s="551">
        <f t="shared" si="1"/>
        <v>32</v>
      </c>
      <c r="J24" s="176">
        <f t="shared" si="2"/>
        <v>19.584</v>
      </c>
      <c r="K24" s="451">
        <f t="shared" si="3"/>
        <v>51.584000000000003</v>
      </c>
      <c r="L24" s="451"/>
      <c r="M24" s="221">
        <f t="shared" si="4"/>
        <v>0.37965260545905705</v>
      </c>
      <c r="N24" s="176">
        <f t="shared" si="5"/>
        <v>8.200496277915633</v>
      </c>
      <c r="O24" s="176">
        <f t="shared" si="53"/>
        <v>0.6080000000000001</v>
      </c>
      <c r="P24" s="221">
        <f t="shared" si="6"/>
        <v>0.51253101736972706</v>
      </c>
      <c r="Q24" s="221">
        <f t="shared" si="7"/>
        <v>16</v>
      </c>
      <c r="R24" s="221">
        <f t="shared" si="8"/>
        <v>0.56947890818858549</v>
      </c>
      <c r="S24" s="176">
        <f t="shared" si="9"/>
        <v>541.77012750474171</v>
      </c>
      <c r="T24" s="176">
        <f t="shared" si="10"/>
        <v>16</v>
      </c>
      <c r="U24" s="221">
        <f t="shared" si="11"/>
        <v>0.11121278140885987</v>
      </c>
      <c r="V24" s="221">
        <f t="shared" si="12"/>
        <v>0.10426198257080613</v>
      </c>
      <c r="W24" s="221">
        <f t="shared" si="13"/>
        <v>0.17036271661896427</v>
      </c>
      <c r="X24" s="201">
        <f t="shared" si="14"/>
        <v>350</v>
      </c>
      <c r="Y24" s="451">
        <f t="shared" si="54"/>
        <v>350</v>
      </c>
      <c r="AA24" s="221">
        <f t="shared" si="15"/>
        <v>1.1570365118752215</v>
      </c>
      <c r="AB24" s="177">
        <f t="shared" si="16"/>
        <v>1.7724211272598367</v>
      </c>
      <c r="AC24" s="177">
        <f t="shared" si="17"/>
        <v>0.4306587513183206</v>
      </c>
      <c r="AD24" s="177"/>
      <c r="AE24" s="177">
        <f t="shared" si="18"/>
        <v>0.4595588235294118</v>
      </c>
      <c r="AF24" s="555">
        <f t="shared" si="19"/>
        <v>459.37777777777785</v>
      </c>
      <c r="AG24" s="538">
        <f t="shared" si="20"/>
        <v>2.8952205882352939E-2</v>
      </c>
      <c r="AI24" s="177">
        <f t="shared" si="21"/>
        <v>0.36228551399523784</v>
      </c>
      <c r="AJ24" s="177">
        <f t="shared" si="22"/>
        <v>0.36228551399523784</v>
      </c>
      <c r="AK24" s="177">
        <f t="shared" si="23"/>
        <v>1.2415236759968251</v>
      </c>
      <c r="AM24" s="555">
        <f t="shared" si="24"/>
        <v>38.000000000000007</v>
      </c>
      <c r="AN24" s="469">
        <f t="shared" si="25"/>
        <v>350</v>
      </c>
      <c r="AP24">
        <f t="shared" si="26"/>
        <v>38.000000000000007</v>
      </c>
      <c r="AQ24" s="469">
        <f t="shared" si="27"/>
        <v>350</v>
      </c>
      <c r="AR24" s="469"/>
      <c r="AS24" s="5">
        <f t="shared" si="55"/>
        <v>2.8571428571428572</v>
      </c>
      <c r="AT24" s="5">
        <f t="shared" si="28"/>
        <v>0.3396426693705355</v>
      </c>
      <c r="AU24" s="5">
        <f t="shared" si="56"/>
        <v>2.5175001877723218</v>
      </c>
      <c r="AV24" s="5">
        <f t="shared" si="29"/>
        <v>0.55497168197799929</v>
      </c>
      <c r="AW24" s="177">
        <f t="shared" si="57"/>
        <v>0.11887493427968743</v>
      </c>
      <c r="AX24" s="177">
        <f t="shared" si="30"/>
        <v>0.68906666666666683</v>
      </c>
      <c r="AY24" s="177">
        <f t="shared" si="31"/>
        <v>0.19153130839714269</v>
      </c>
      <c r="AZ24" s="177">
        <f t="shared" si="58"/>
        <v>3.5976711715344107</v>
      </c>
      <c r="BA24" s="469">
        <f t="shared" si="32"/>
        <v>6.273549245269658</v>
      </c>
      <c r="BB24" s="469">
        <f t="shared" si="33"/>
        <v>0.1604992066666667</v>
      </c>
      <c r="BC24" s="5">
        <f t="shared" si="34"/>
        <v>3.3217016366440359E-2</v>
      </c>
      <c r="BD24" s="469">
        <f t="shared" si="35"/>
        <v>5.378055951963792</v>
      </c>
      <c r="BE24" s="5"/>
      <c r="BF24" s="177">
        <f t="shared" si="59"/>
        <v>7.211664040380443E-2</v>
      </c>
      <c r="BG24" s="177">
        <f t="shared" si="36"/>
        <v>0.23560818068791967</v>
      </c>
      <c r="BH24" s="177"/>
      <c r="BI24" s="538">
        <f t="shared" si="37"/>
        <v>1.8202834380960729E-3</v>
      </c>
      <c r="BJ24" s="538">
        <f t="shared" si="38"/>
        <v>3.2704237919378112E-2</v>
      </c>
      <c r="BK24" s="538">
        <f t="shared" si="39"/>
        <v>4.3749999999999995E-3</v>
      </c>
      <c r="BL24" s="538">
        <f t="shared" si="40"/>
        <v>4.6565908480000008E-2</v>
      </c>
      <c r="BM24">
        <f t="shared" si="41"/>
        <v>9.2800000000000001E-3</v>
      </c>
      <c r="BN24">
        <f t="shared" si="42"/>
        <v>2.3625000000000002E-5</v>
      </c>
      <c r="BO24" s="538">
        <f t="shared" si="43"/>
        <v>9.5046713808050853E-2</v>
      </c>
      <c r="BP24" s="469">
        <f t="shared" si="60"/>
        <v>95.046713808050853</v>
      </c>
      <c r="BQ24" s="538">
        <f t="shared" si="44"/>
        <v>3.5721284056301275E-2</v>
      </c>
      <c r="BR24" s="538"/>
      <c r="BT24" s="469">
        <f t="shared" si="61"/>
        <v>35.721284056301272</v>
      </c>
      <c r="BU24" s="538">
        <f t="shared" si="45"/>
        <v>5.2008098231316378E-4</v>
      </c>
      <c r="BV24" s="538">
        <f t="shared" si="46"/>
        <v>1.665336444212142E-3</v>
      </c>
      <c r="BW24" s="538">
        <f t="shared" si="47"/>
        <v>0</v>
      </c>
      <c r="BX24" s="538">
        <f t="shared" si="48"/>
        <v>2.4480955265583858E-3</v>
      </c>
      <c r="BY24" s="538">
        <f t="shared" si="49"/>
        <v>2.2968888888888895E-3</v>
      </c>
      <c r="BZ24" s="469">
        <f t="shared" si="62"/>
        <v>4.7449844154472753</v>
      </c>
      <c r="CA24" s="177">
        <f t="shared" si="63"/>
        <v>0.13551298227979938</v>
      </c>
      <c r="CB24" s="5">
        <f t="shared" si="64"/>
        <v>0.6080000000000001</v>
      </c>
      <c r="CC24" s="177">
        <f t="shared" si="65"/>
        <v>0.81773958826612259</v>
      </c>
      <c r="CD24" s="5">
        <f t="shared" si="66"/>
        <v>81.773958826612258</v>
      </c>
      <c r="CG24" s="571">
        <f t="shared" si="50"/>
        <v>-50</v>
      </c>
      <c r="CH24">
        <f t="shared" si="51"/>
        <v>-50</v>
      </c>
    </row>
    <row r="25" spans="5:86" x14ac:dyDescent="0.25">
      <c r="E25" s="174">
        <v>20</v>
      </c>
      <c r="F25" s="221">
        <f t="shared" si="52"/>
        <v>4.0000000000000008E-2</v>
      </c>
      <c r="G25" s="221"/>
      <c r="H25" s="221">
        <f t="shared" si="0"/>
        <v>0.64000000000000012</v>
      </c>
      <c r="I25" s="551">
        <f t="shared" si="1"/>
        <v>32</v>
      </c>
      <c r="J25" s="176">
        <f t="shared" si="2"/>
        <v>19.584</v>
      </c>
      <c r="K25" s="451">
        <f t="shared" si="3"/>
        <v>51.584000000000003</v>
      </c>
      <c r="L25" s="451"/>
      <c r="M25" s="221">
        <f t="shared" si="4"/>
        <v>0.37965260545905705</v>
      </c>
      <c r="N25" s="176">
        <f t="shared" si="5"/>
        <v>8.200496277915633</v>
      </c>
      <c r="O25" s="176">
        <f t="shared" si="53"/>
        <v>0.64000000000000012</v>
      </c>
      <c r="P25" s="221">
        <f t="shared" si="6"/>
        <v>0.51253101736972706</v>
      </c>
      <c r="Q25" s="221">
        <f t="shared" si="7"/>
        <v>16</v>
      </c>
      <c r="R25" s="221">
        <f t="shared" si="8"/>
        <v>0.56947890818858549</v>
      </c>
      <c r="S25" s="176">
        <f t="shared" si="9"/>
        <v>513.34994581650994</v>
      </c>
      <c r="T25" s="176">
        <f t="shared" si="10"/>
        <v>16</v>
      </c>
      <c r="U25" s="221">
        <f t="shared" si="11"/>
        <v>0.1170660856935367</v>
      </c>
      <c r="V25" s="221">
        <f t="shared" si="12"/>
        <v>0.10974945533769066</v>
      </c>
      <c r="W25" s="221">
        <f t="shared" si="13"/>
        <v>0.17932917538838342</v>
      </c>
      <c r="X25" s="201">
        <f t="shared" si="14"/>
        <v>350</v>
      </c>
      <c r="Y25" s="451">
        <f t="shared" si="54"/>
        <v>350</v>
      </c>
      <c r="AA25" s="221">
        <f t="shared" si="15"/>
        <v>1.1570365118752215</v>
      </c>
      <c r="AB25" s="177">
        <f t="shared" si="16"/>
        <v>1.7724211272598367</v>
      </c>
      <c r="AC25" s="177">
        <f t="shared" si="17"/>
        <v>0.4306587513183206</v>
      </c>
      <c r="AD25" s="177"/>
      <c r="AE25" s="177">
        <f t="shared" si="18"/>
        <v>0.4595588235294118</v>
      </c>
      <c r="AF25" s="555">
        <f t="shared" si="19"/>
        <v>483.55555555555566</v>
      </c>
      <c r="AG25" s="538">
        <f t="shared" si="20"/>
        <v>2.8952205882352939E-2</v>
      </c>
      <c r="AI25" s="177">
        <f t="shared" si="21"/>
        <v>0.37169709463315714</v>
      </c>
      <c r="AJ25" s="177">
        <f t="shared" si="22"/>
        <v>0.37169709463315714</v>
      </c>
      <c r="AK25" s="177">
        <f t="shared" si="23"/>
        <v>1.2477980630887715</v>
      </c>
      <c r="AM25" s="555">
        <f t="shared" si="24"/>
        <v>40.000000000000007</v>
      </c>
      <c r="AN25" s="469">
        <f t="shared" si="25"/>
        <v>350</v>
      </c>
      <c r="AP25">
        <f t="shared" si="26"/>
        <v>40.000000000000007</v>
      </c>
      <c r="AQ25" s="469">
        <f t="shared" si="27"/>
        <v>350</v>
      </c>
      <c r="AR25" s="469"/>
      <c r="AS25" s="5">
        <f t="shared" si="55"/>
        <v>2.8571428571428572</v>
      </c>
      <c r="AT25" s="5">
        <f t="shared" si="28"/>
        <v>0.3484660262185848</v>
      </c>
      <c r="AU25" s="5">
        <f t="shared" si="56"/>
        <v>2.5086768309242724</v>
      </c>
      <c r="AV25" s="5">
        <f t="shared" si="29"/>
        <v>0.56938893172971383</v>
      </c>
      <c r="AW25" s="177">
        <f t="shared" si="57"/>
        <v>0.12196310917650467</v>
      </c>
      <c r="AX25" s="177">
        <f t="shared" si="30"/>
        <v>0.7253333333333335</v>
      </c>
      <c r="AY25" s="177">
        <f t="shared" si="31"/>
        <v>0.19581825677989428</v>
      </c>
      <c r="AZ25" s="177">
        <f t="shared" si="58"/>
        <v>3.7041149546573195</v>
      </c>
      <c r="BA25" s="469">
        <f t="shared" si="32"/>
        <v>6.273549245269658</v>
      </c>
      <c r="BB25" s="469">
        <f t="shared" si="33"/>
        <v>0.17152266666666671</v>
      </c>
      <c r="BC25" s="5">
        <f t="shared" si="34"/>
        <v>3.4842733762837121E-2</v>
      </c>
      <c r="BD25" s="469">
        <f t="shared" si="35"/>
        <v>5.6415040687206055</v>
      </c>
      <c r="BE25" s="5"/>
      <c r="BF25" s="177">
        <f t="shared" si="59"/>
        <v>7.494502049288411E-2</v>
      </c>
      <c r="BG25" s="177">
        <f t="shared" si="36"/>
        <v>0.24130491436556567</v>
      </c>
      <c r="BH25" s="177"/>
      <c r="BI25" s="538">
        <f t="shared" si="37"/>
        <v>1.9658646338375865E-3</v>
      </c>
      <c r="BJ25" s="538">
        <f t="shared" si="38"/>
        <v>3.3553840126724362E-2</v>
      </c>
      <c r="BK25" s="538">
        <f t="shared" si="39"/>
        <v>4.3749999999999995E-3</v>
      </c>
      <c r="BL25" s="538">
        <f t="shared" si="40"/>
        <v>4.6565908480000008E-2</v>
      </c>
      <c r="BM25">
        <f t="shared" si="41"/>
        <v>9.2800000000000001E-3</v>
      </c>
      <c r="BN25">
        <f t="shared" si="42"/>
        <v>2.3625000000000002E-5</v>
      </c>
      <c r="BO25" s="538">
        <f t="shared" si="43"/>
        <v>9.6064472744919693E-2</v>
      </c>
      <c r="BP25" s="469">
        <f t="shared" si="60"/>
        <v>96.064472744919698</v>
      </c>
      <c r="BQ25" s="538">
        <f t="shared" si="44"/>
        <v>3.7523119568243689E-2</v>
      </c>
      <c r="BR25" s="538"/>
      <c r="BT25" s="469">
        <f t="shared" si="61"/>
        <v>37.523119568243686</v>
      </c>
      <c r="BU25" s="538">
        <f t="shared" si="45"/>
        <v>5.6167560966788191E-4</v>
      </c>
      <c r="BV25" s="538">
        <f t="shared" si="46"/>
        <v>1.7468418509091895E-3</v>
      </c>
      <c r="BW25" s="538">
        <f t="shared" si="47"/>
        <v>0</v>
      </c>
      <c r="BX25" s="538">
        <f t="shared" si="48"/>
        <v>2.5860171451049462E-3</v>
      </c>
      <c r="BY25" s="538">
        <f t="shared" si="49"/>
        <v>2.4177777777777782E-3</v>
      </c>
      <c r="BZ25" s="469">
        <f t="shared" si="62"/>
        <v>5.0037949228827241</v>
      </c>
      <c r="CA25" s="177">
        <f t="shared" si="63"/>
        <v>0.13859138723604611</v>
      </c>
      <c r="CB25" s="5">
        <f t="shared" si="64"/>
        <v>0.64000000000000012</v>
      </c>
      <c r="CC25" s="177">
        <f t="shared" si="65"/>
        <v>0.82199727673839618</v>
      </c>
      <c r="CD25" s="5">
        <f t="shared" si="66"/>
        <v>82.199727673839618</v>
      </c>
      <c r="CG25" s="571">
        <f t="shared" si="50"/>
        <v>-50</v>
      </c>
      <c r="CH25">
        <f t="shared" si="51"/>
        <v>-50</v>
      </c>
    </row>
    <row r="26" spans="5:86" x14ac:dyDescent="0.25">
      <c r="E26" s="174">
        <v>21</v>
      </c>
      <c r="F26" s="221">
        <f t="shared" si="52"/>
        <v>4.2000000000000003E-2</v>
      </c>
      <c r="G26" s="221"/>
      <c r="H26" s="221">
        <f t="shared" si="0"/>
        <v>0.67200000000000004</v>
      </c>
      <c r="I26" s="551">
        <f t="shared" si="1"/>
        <v>32</v>
      </c>
      <c r="J26" s="176">
        <f t="shared" si="2"/>
        <v>19.584</v>
      </c>
      <c r="K26" s="451">
        <f t="shared" si="3"/>
        <v>51.584000000000003</v>
      </c>
      <c r="L26" s="451"/>
      <c r="M26" s="221">
        <f t="shared" si="4"/>
        <v>0.37965260545905705</v>
      </c>
      <c r="N26" s="176">
        <f t="shared" si="5"/>
        <v>8.200496277915633</v>
      </c>
      <c r="O26" s="176">
        <f t="shared" si="53"/>
        <v>0.67200000000000004</v>
      </c>
      <c r="P26" s="221">
        <f t="shared" si="6"/>
        <v>0.51253101736972706</v>
      </c>
      <c r="Q26" s="221">
        <f t="shared" si="7"/>
        <v>16</v>
      </c>
      <c r="R26" s="221">
        <f t="shared" si="8"/>
        <v>0.56947890818858549</v>
      </c>
      <c r="S26" s="176">
        <f t="shared" si="9"/>
        <v>487.63653551543229</v>
      </c>
      <c r="T26" s="176">
        <f t="shared" si="10"/>
        <v>16</v>
      </c>
      <c r="U26" s="221">
        <f t="shared" si="11"/>
        <v>0.12291938997821353</v>
      </c>
      <c r="V26" s="221">
        <f t="shared" si="12"/>
        <v>0.11523692810457518</v>
      </c>
      <c r="W26" s="221">
        <f t="shared" si="13"/>
        <v>0.18829563415780259</v>
      </c>
      <c r="X26" s="201">
        <f t="shared" si="14"/>
        <v>350</v>
      </c>
      <c r="Y26" s="451">
        <f t="shared" si="54"/>
        <v>350</v>
      </c>
      <c r="AA26" s="221">
        <f t="shared" si="15"/>
        <v>1.1570365118752215</v>
      </c>
      <c r="AB26" s="177">
        <f t="shared" si="16"/>
        <v>1.7724211272598367</v>
      </c>
      <c r="AC26" s="177">
        <f t="shared" si="17"/>
        <v>0.4306587513183206</v>
      </c>
      <c r="AD26" s="177"/>
      <c r="AE26" s="177">
        <f t="shared" si="18"/>
        <v>0.4595588235294118</v>
      </c>
      <c r="AF26" s="555">
        <f t="shared" si="19"/>
        <v>507.73333333333341</v>
      </c>
      <c r="AG26" s="538">
        <f t="shared" si="20"/>
        <v>2.8952205882352939E-2</v>
      </c>
      <c r="AI26" s="177">
        <f t="shared" si="21"/>
        <v>0.38087618285561864</v>
      </c>
      <c r="AJ26" s="177">
        <f t="shared" si="22"/>
        <v>0.38087618285561864</v>
      </c>
      <c r="AK26" s="177">
        <f t="shared" si="23"/>
        <v>1.2539174552370791</v>
      </c>
      <c r="AM26" s="555">
        <f t="shared" si="24"/>
        <v>42</v>
      </c>
      <c r="AN26" s="469">
        <f t="shared" si="25"/>
        <v>350</v>
      </c>
      <c r="AP26">
        <f t="shared" si="26"/>
        <v>42</v>
      </c>
      <c r="AQ26" s="469">
        <f t="shared" si="27"/>
        <v>350</v>
      </c>
      <c r="AR26" s="469"/>
      <c r="AS26" s="5">
        <f t="shared" si="55"/>
        <v>2.8571428571428572</v>
      </c>
      <c r="AT26" s="5">
        <f t="shared" si="28"/>
        <v>0.35707142142714249</v>
      </c>
      <c r="AU26" s="5">
        <f t="shared" si="56"/>
        <v>2.5000714357157148</v>
      </c>
      <c r="AV26" s="5">
        <f t="shared" si="29"/>
        <v>0.58345003501167081</v>
      </c>
      <c r="AW26" s="177">
        <f t="shared" si="57"/>
        <v>0.12497499749949986</v>
      </c>
      <c r="AX26" s="177">
        <f t="shared" si="30"/>
        <v>0.76159999999999994</v>
      </c>
      <c r="AY26" s="177">
        <f t="shared" si="31"/>
        <v>0.19996570971337119</v>
      </c>
      <c r="AZ26" s="177">
        <f t="shared" si="58"/>
        <v>3.8086529990150293</v>
      </c>
      <c r="BA26" s="469">
        <f t="shared" si="32"/>
        <v>6.273549245269658</v>
      </c>
      <c r="BB26" s="469">
        <f t="shared" si="33"/>
        <v>0.18280373999999999</v>
      </c>
      <c r="BC26" s="5">
        <f t="shared" si="34"/>
        <v>3.6459375104187508E-2</v>
      </c>
      <c r="BD26" s="469">
        <f t="shared" si="35"/>
        <v>5.9035000166700016</v>
      </c>
      <c r="BE26" s="5"/>
      <c r="BF26" s="177">
        <f t="shared" si="59"/>
        <v>7.7738249495614975E-2</v>
      </c>
      <c r="BG26" s="177">
        <f t="shared" si="36"/>
        <v>0.24683950448442163</v>
      </c>
      <c r="BH26" s="177"/>
      <c r="BI26" s="538">
        <f t="shared" si="37"/>
        <v>2.1151324021248686E-3</v>
      </c>
      <c r="BJ26" s="538">
        <f t="shared" si="38"/>
        <v>3.4382454778742411E-2</v>
      </c>
      <c r="BK26" s="538">
        <f t="shared" si="39"/>
        <v>4.3749999999999995E-3</v>
      </c>
      <c r="BL26" s="538">
        <f t="shared" si="40"/>
        <v>4.6565908480000008E-2</v>
      </c>
      <c r="BM26">
        <f t="shared" si="41"/>
        <v>9.2800000000000001E-3</v>
      </c>
      <c r="BN26">
        <f t="shared" si="42"/>
        <v>2.3625000000000002E-5</v>
      </c>
      <c r="BO26" s="538">
        <f t="shared" si="43"/>
        <v>9.7065542579651429E-2</v>
      </c>
      <c r="BP26" s="469">
        <f t="shared" si="60"/>
        <v>97.065542579651435</v>
      </c>
      <c r="BQ26" s="538">
        <f t="shared" si="44"/>
        <v>3.9319161052111855E-2</v>
      </c>
      <c r="BR26" s="538"/>
      <c r="BT26" s="469">
        <f t="shared" si="61"/>
        <v>39.319161052111852</v>
      </c>
      <c r="BU26" s="538">
        <f t="shared" si="45"/>
        <v>6.0432354346424825E-4</v>
      </c>
      <c r="BV26" s="538">
        <f t="shared" si="46"/>
        <v>1.8278922292234441E-3</v>
      </c>
      <c r="BW26" s="538">
        <f t="shared" si="47"/>
        <v>0</v>
      </c>
      <c r="BX26" s="538">
        <f t="shared" si="48"/>
        <v>2.7246118129162816E-3</v>
      </c>
      <c r="BY26" s="538">
        <f t="shared" si="49"/>
        <v>2.5386666666666665E-3</v>
      </c>
      <c r="BZ26" s="469">
        <f t="shared" si="62"/>
        <v>5.2632784795829481</v>
      </c>
      <c r="CA26" s="177">
        <f t="shared" si="63"/>
        <v>0.14164798211134622</v>
      </c>
      <c r="CB26" s="5">
        <f t="shared" si="64"/>
        <v>0.67200000000000004</v>
      </c>
      <c r="CC26" s="177">
        <f t="shared" si="65"/>
        <v>0.82590999397087927</v>
      </c>
      <c r="CD26" s="5">
        <f t="shared" si="66"/>
        <v>82.590999397087927</v>
      </c>
      <c r="CG26" s="571">
        <f t="shared" si="50"/>
        <v>-50</v>
      </c>
      <c r="CH26">
        <f t="shared" si="51"/>
        <v>-50</v>
      </c>
    </row>
    <row r="27" spans="5:86" x14ac:dyDescent="0.25">
      <c r="E27" s="174">
        <v>22</v>
      </c>
      <c r="F27" s="221">
        <f t="shared" si="52"/>
        <v>4.4000000000000004E-2</v>
      </c>
      <c r="G27" s="221"/>
      <c r="H27" s="221">
        <f t="shared" si="0"/>
        <v>0.70400000000000007</v>
      </c>
      <c r="I27" s="551">
        <f t="shared" si="1"/>
        <v>32</v>
      </c>
      <c r="J27" s="176">
        <f t="shared" si="2"/>
        <v>19.584</v>
      </c>
      <c r="K27" s="451">
        <f t="shared" si="3"/>
        <v>51.584000000000003</v>
      </c>
      <c r="L27" s="451"/>
      <c r="M27" s="221">
        <f t="shared" si="4"/>
        <v>0.37965260545905705</v>
      </c>
      <c r="N27" s="176">
        <f t="shared" si="5"/>
        <v>8.200496277915633</v>
      </c>
      <c r="O27" s="176">
        <f t="shared" si="53"/>
        <v>0.70400000000000007</v>
      </c>
      <c r="P27" s="221">
        <f t="shared" si="6"/>
        <v>0.51253101736972706</v>
      </c>
      <c r="Q27" s="221">
        <f t="shared" si="7"/>
        <v>16</v>
      </c>
      <c r="R27" s="221">
        <f t="shared" si="8"/>
        <v>0.56947890818858549</v>
      </c>
      <c r="S27" s="176">
        <f t="shared" si="9"/>
        <v>464.26079205590088</v>
      </c>
      <c r="T27" s="176">
        <f t="shared" si="10"/>
        <v>16</v>
      </c>
      <c r="U27" s="221">
        <f t="shared" si="11"/>
        <v>0.12877269426289037</v>
      </c>
      <c r="V27" s="221">
        <f t="shared" si="12"/>
        <v>0.12072440087145972</v>
      </c>
      <c r="W27" s="221">
        <f t="shared" si="13"/>
        <v>0.19726209292722177</v>
      </c>
      <c r="X27" s="201">
        <f t="shared" si="14"/>
        <v>350</v>
      </c>
      <c r="Y27" s="451">
        <f t="shared" si="54"/>
        <v>350</v>
      </c>
      <c r="AA27" s="221">
        <f t="shared" si="15"/>
        <v>1.1570365118752215</v>
      </c>
      <c r="AB27" s="177">
        <f t="shared" si="16"/>
        <v>1.7724211272598367</v>
      </c>
      <c r="AC27" s="177">
        <f t="shared" si="17"/>
        <v>0.4306587513183206</v>
      </c>
      <c r="AD27" s="177"/>
      <c r="AE27" s="177">
        <f t="shared" si="18"/>
        <v>0.4595588235294118</v>
      </c>
      <c r="AF27" s="555">
        <f t="shared" si="19"/>
        <v>531.91111111111127</v>
      </c>
      <c r="AG27" s="538">
        <f t="shared" si="20"/>
        <v>2.8952205882352939E-2</v>
      </c>
      <c r="AI27" s="177">
        <f t="shared" si="21"/>
        <v>0.38983920169039332</v>
      </c>
      <c r="AJ27" s="177">
        <f t="shared" si="22"/>
        <v>0.38983920169039332</v>
      </c>
      <c r="AK27" s="177">
        <f t="shared" si="23"/>
        <v>1.2598928011269288</v>
      </c>
      <c r="AM27" s="555">
        <f t="shared" si="24"/>
        <v>44.000000000000007</v>
      </c>
      <c r="AN27" s="469">
        <f t="shared" si="25"/>
        <v>350</v>
      </c>
      <c r="AP27">
        <f t="shared" si="26"/>
        <v>44.000000000000007</v>
      </c>
      <c r="AQ27" s="469">
        <f t="shared" si="27"/>
        <v>350</v>
      </c>
      <c r="AR27" s="469"/>
      <c r="AS27" s="5">
        <f t="shared" si="55"/>
        <v>2.8571428571428572</v>
      </c>
      <c r="AT27" s="5">
        <f t="shared" si="28"/>
        <v>0.36547425158474378</v>
      </c>
      <c r="AU27" s="5">
        <f t="shared" si="56"/>
        <v>2.4916686055581136</v>
      </c>
      <c r="AV27" s="5">
        <f t="shared" si="29"/>
        <v>0.59718014964827404</v>
      </c>
      <c r="AW27" s="177">
        <f t="shared" si="57"/>
        <v>0.12791598805466031</v>
      </c>
      <c r="AX27" s="177">
        <f t="shared" si="30"/>
        <v>0.7978666666666665</v>
      </c>
      <c r="AY27" s="177">
        <f t="shared" si="31"/>
        <v>0.20398352101423597</v>
      </c>
      <c r="AZ27" s="177">
        <f t="shared" si="58"/>
        <v>3.9114270736163217</v>
      </c>
      <c r="BA27" s="469">
        <f t="shared" si="32"/>
        <v>6.273549245269658</v>
      </c>
      <c r="BB27" s="469">
        <f t="shared" si="33"/>
        <v>0.19434242666666668</v>
      </c>
      <c r="BC27" s="5">
        <f t="shared" si="34"/>
        <v>3.8067159251582293E-2</v>
      </c>
      <c r="BD27" s="469">
        <f t="shared" si="35"/>
        <v>6.1640788135865003</v>
      </c>
      <c r="BE27" s="5"/>
      <c r="BF27" s="177">
        <f t="shared" si="59"/>
        <v>8.0498408937266744E-2</v>
      </c>
      <c r="BG27" s="177">
        <f t="shared" si="36"/>
        <v>0.2522233502119664</v>
      </c>
      <c r="BH27" s="177"/>
      <c r="BI27" s="538">
        <f t="shared" si="37"/>
        <v>2.267997844500999E-3</v>
      </c>
      <c r="BJ27" s="538">
        <f t="shared" si="38"/>
        <v>3.5191564414995186E-2</v>
      </c>
      <c r="BK27" s="538">
        <f t="shared" si="39"/>
        <v>4.3749999999999995E-3</v>
      </c>
      <c r="BL27" s="538">
        <f t="shared" si="40"/>
        <v>4.6565908480000008E-2</v>
      </c>
      <c r="BM27">
        <f t="shared" si="41"/>
        <v>9.2800000000000001E-3</v>
      </c>
      <c r="BN27">
        <f t="shared" si="42"/>
        <v>2.3625000000000002E-5</v>
      </c>
      <c r="BO27" s="538">
        <f t="shared" si="43"/>
        <v>9.8051304585708515E-2</v>
      </c>
      <c r="BP27" s="469">
        <f t="shared" si="60"/>
        <v>98.051304585708522</v>
      </c>
      <c r="BQ27" s="538">
        <f t="shared" si="44"/>
        <v>4.1109548225800645E-2</v>
      </c>
      <c r="BR27" s="538"/>
      <c r="BT27" s="469">
        <f t="shared" si="61"/>
        <v>41.109548225800644</v>
      </c>
      <c r="BU27" s="538">
        <f t="shared" si="45"/>
        <v>6.4799938414314266E-4</v>
      </c>
      <c r="BV27" s="538">
        <f t="shared" si="46"/>
        <v>1.9084985517644477E-3</v>
      </c>
      <c r="BW27" s="538">
        <f t="shared" si="47"/>
        <v>0</v>
      </c>
      <c r="BX27" s="538">
        <f t="shared" si="48"/>
        <v>2.8638634050872076E-3</v>
      </c>
      <c r="BY27" s="538">
        <f t="shared" si="49"/>
        <v>2.6595555555555556E-3</v>
      </c>
      <c r="BZ27" s="469">
        <f t="shared" si="62"/>
        <v>5.5234189606427639</v>
      </c>
      <c r="CA27" s="177">
        <f t="shared" si="63"/>
        <v>0.14468427177215193</v>
      </c>
      <c r="CB27" s="5">
        <f t="shared" si="64"/>
        <v>0.70400000000000007</v>
      </c>
      <c r="CC27" s="177">
        <f t="shared" si="65"/>
        <v>0.82951931998217165</v>
      </c>
      <c r="CD27" s="5">
        <f t="shared" si="66"/>
        <v>82.951931998217162</v>
      </c>
      <c r="CG27" s="571">
        <f t="shared" si="50"/>
        <v>-50</v>
      </c>
      <c r="CH27">
        <f t="shared" si="51"/>
        <v>-50</v>
      </c>
    </row>
    <row r="28" spans="5:86" x14ac:dyDescent="0.25">
      <c r="E28" s="174">
        <v>23</v>
      </c>
      <c r="F28" s="221">
        <f t="shared" si="52"/>
        <v>4.6000000000000006E-2</v>
      </c>
      <c r="G28" s="221"/>
      <c r="H28" s="221">
        <f t="shared" si="0"/>
        <v>0.7360000000000001</v>
      </c>
      <c r="I28" s="551">
        <f t="shared" si="1"/>
        <v>32</v>
      </c>
      <c r="J28" s="176">
        <f t="shared" si="2"/>
        <v>19.584</v>
      </c>
      <c r="K28" s="451">
        <f t="shared" si="3"/>
        <v>51.584000000000003</v>
      </c>
      <c r="L28" s="451"/>
      <c r="M28" s="221">
        <f t="shared" si="4"/>
        <v>0.37965260545905705</v>
      </c>
      <c r="N28" s="176">
        <f t="shared" si="5"/>
        <v>8.200496277915633</v>
      </c>
      <c r="O28" s="176">
        <f t="shared" si="53"/>
        <v>0.7360000000000001</v>
      </c>
      <c r="P28" s="221">
        <f t="shared" si="6"/>
        <v>0.51253101736972706</v>
      </c>
      <c r="Q28" s="221">
        <f t="shared" si="7"/>
        <v>16</v>
      </c>
      <c r="R28" s="221">
        <f t="shared" si="8"/>
        <v>0.56947890818858549</v>
      </c>
      <c r="S28" s="176">
        <f t="shared" si="9"/>
        <v>442.91780299345515</v>
      </c>
      <c r="T28" s="176">
        <f t="shared" si="10"/>
        <v>16</v>
      </c>
      <c r="U28" s="221">
        <f t="shared" si="11"/>
        <v>0.13462599854756721</v>
      </c>
      <c r="V28" s="221">
        <f t="shared" si="12"/>
        <v>0.12621187363834427</v>
      </c>
      <c r="W28" s="221">
        <f t="shared" si="13"/>
        <v>0.20622855169664095</v>
      </c>
      <c r="X28" s="201">
        <f t="shared" si="14"/>
        <v>350</v>
      </c>
      <c r="Y28" s="451">
        <f t="shared" si="54"/>
        <v>350</v>
      </c>
      <c r="AA28" s="221">
        <f t="shared" si="15"/>
        <v>1.1570365118752215</v>
      </c>
      <c r="AB28" s="177">
        <f t="shared" si="16"/>
        <v>1.7724211272598367</v>
      </c>
      <c r="AC28" s="177">
        <f t="shared" si="17"/>
        <v>0.4306587513183206</v>
      </c>
      <c r="AD28" s="177"/>
      <c r="AE28" s="177">
        <f t="shared" si="18"/>
        <v>0.4595588235294118</v>
      </c>
      <c r="AF28" s="555">
        <f t="shared" si="19"/>
        <v>556.08888888888896</v>
      </c>
      <c r="AG28" s="538">
        <f t="shared" si="20"/>
        <v>2.8952205882352939E-2</v>
      </c>
      <c r="AI28" s="177">
        <f t="shared" si="21"/>
        <v>0.39860072714753003</v>
      </c>
      <c r="AJ28" s="177">
        <f t="shared" si="22"/>
        <v>0.39860072714753003</v>
      </c>
      <c r="AK28" s="177">
        <f t="shared" si="23"/>
        <v>1.2657338180983533</v>
      </c>
      <c r="AM28" s="555">
        <f t="shared" si="24"/>
        <v>46.000000000000007</v>
      </c>
      <c r="AN28" s="469">
        <f t="shared" si="25"/>
        <v>350</v>
      </c>
      <c r="AP28">
        <f t="shared" si="26"/>
        <v>46.000000000000007</v>
      </c>
      <c r="AQ28" s="469">
        <f t="shared" si="27"/>
        <v>350</v>
      </c>
      <c r="AR28" s="469"/>
      <c r="AS28" s="5">
        <f t="shared" si="55"/>
        <v>2.8571428571428572</v>
      </c>
      <c r="AT28" s="5">
        <f t="shared" si="28"/>
        <v>0.37368818170080942</v>
      </c>
      <c r="AU28" s="5">
        <f t="shared" si="56"/>
        <v>2.4834546754420477</v>
      </c>
      <c r="AV28" s="5">
        <f t="shared" si="29"/>
        <v>0.61060160408628994</v>
      </c>
      <c r="AW28" s="177">
        <f t="shared" si="57"/>
        <v>0.1307908635952833</v>
      </c>
      <c r="AX28" s="177">
        <f t="shared" si="30"/>
        <v>0.83413333333333328</v>
      </c>
      <c r="AY28" s="177">
        <f t="shared" si="31"/>
        <v>0.20788043628851802</v>
      </c>
      <c r="AZ28" s="177">
        <f t="shared" si="58"/>
        <v>4.012562933895504</v>
      </c>
      <c r="BA28" s="469">
        <f t="shared" si="32"/>
        <v>6.273549245269658</v>
      </c>
      <c r="BB28" s="469">
        <f t="shared" si="33"/>
        <v>0.20613872666666669</v>
      </c>
      <c r="BC28" s="5">
        <f t="shared" si="34"/>
        <v>3.9666289954977153E-2</v>
      </c>
      <c r="BD28" s="469">
        <f t="shared" si="35"/>
        <v>6.4232730594630114</v>
      </c>
      <c r="BE28" s="5"/>
      <c r="BF28" s="177">
        <f t="shared" si="59"/>
        <v>8.3227368445904934E-2</v>
      </c>
      <c r="BG28" s="177">
        <f t="shared" si="36"/>
        <v>0.25746656958036179</v>
      </c>
      <c r="BH28" s="177"/>
      <c r="BI28" s="538">
        <f t="shared" si="37"/>
        <v>2.4243782004506444E-3</v>
      </c>
      <c r="BJ28" s="538">
        <f t="shared" si="38"/>
        <v>3.5982484841061833E-2</v>
      </c>
      <c r="BK28" s="538">
        <f t="shared" si="39"/>
        <v>4.3749999999999995E-3</v>
      </c>
      <c r="BL28" s="538">
        <f t="shared" si="40"/>
        <v>4.6565908480000008E-2</v>
      </c>
      <c r="BM28">
        <f t="shared" si="41"/>
        <v>9.2800000000000001E-3</v>
      </c>
      <c r="BN28">
        <f t="shared" si="42"/>
        <v>2.3625000000000002E-5</v>
      </c>
      <c r="BO28" s="538">
        <f t="shared" si="43"/>
        <v>9.9022980337647601E-2</v>
      </c>
      <c r="BP28" s="469">
        <f t="shared" si="60"/>
        <v>99.022980337647596</v>
      </c>
      <c r="BQ28" s="538">
        <f t="shared" si="44"/>
        <v>4.2894411160465093E-2</v>
      </c>
      <c r="BR28" s="538"/>
      <c r="BT28" s="469">
        <f t="shared" si="61"/>
        <v>42.89441116046509</v>
      </c>
      <c r="BU28" s="538">
        <f t="shared" si="45"/>
        <v>6.9267948584304133E-4</v>
      </c>
      <c r="BV28" s="538">
        <f t="shared" si="46"/>
        <v>1.9886710335443782E-3</v>
      </c>
      <c r="BW28" s="538">
        <f t="shared" si="47"/>
        <v>0</v>
      </c>
      <c r="BX28" s="538">
        <f t="shared" si="48"/>
        <v>3.00375691172634E-3</v>
      </c>
      <c r="BY28" s="538">
        <f t="shared" si="49"/>
        <v>2.7804444444444448E-3</v>
      </c>
      <c r="BZ28" s="469">
        <f t="shared" si="62"/>
        <v>5.7842013561707848</v>
      </c>
      <c r="CA28" s="177">
        <f t="shared" si="63"/>
        <v>0.14770159285428347</v>
      </c>
      <c r="CB28" s="5">
        <f t="shared" si="64"/>
        <v>0.7360000000000001</v>
      </c>
      <c r="CC28" s="177">
        <f t="shared" si="65"/>
        <v>0.8328603297214624</v>
      </c>
      <c r="CD28" s="5">
        <f t="shared" si="66"/>
        <v>83.286032972146245</v>
      </c>
      <c r="CG28" s="571">
        <f t="shared" si="50"/>
        <v>-50</v>
      </c>
      <c r="CH28">
        <f t="shared" si="51"/>
        <v>-50</v>
      </c>
    </row>
    <row r="29" spans="5:86" x14ac:dyDescent="0.25">
      <c r="E29" s="174">
        <v>24</v>
      </c>
      <c r="F29" s="221">
        <f t="shared" si="52"/>
        <v>4.8000000000000001E-2</v>
      </c>
      <c r="G29" s="221"/>
      <c r="H29" s="221">
        <f t="shared" si="0"/>
        <v>0.76800000000000002</v>
      </c>
      <c r="I29" s="551">
        <f t="shared" si="1"/>
        <v>32</v>
      </c>
      <c r="J29" s="176">
        <f t="shared" si="2"/>
        <v>19.584</v>
      </c>
      <c r="K29" s="451">
        <f t="shared" si="3"/>
        <v>51.584000000000003</v>
      </c>
      <c r="L29" s="451"/>
      <c r="M29" s="221">
        <f t="shared" si="4"/>
        <v>0.37965260545905705</v>
      </c>
      <c r="N29" s="176">
        <f t="shared" si="5"/>
        <v>8.200496277915633</v>
      </c>
      <c r="O29" s="176">
        <f t="shared" si="53"/>
        <v>0.76800000000000002</v>
      </c>
      <c r="P29" s="221">
        <f t="shared" si="6"/>
        <v>0.51253101736972706</v>
      </c>
      <c r="Q29" s="221">
        <f t="shared" si="7"/>
        <v>16</v>
      </c>
      <c r="R29" s="221">
        <f t="shared" si="8"/>
        <v>0.56947890818858549</v>
      </c>
      <c r="S29" s="176">
        <f t="shared" si="9"/>
        <v>423.35347463045088</v>
      </c>
      <c r="T29" s="176">
        <f t="shared" si="10"/>
        <v>16</v>
      </c>
      <c r="U29" s="221">
        <f t="shared" si="11"/>
        <v>0.14047930283224402</v>
      </c>
      <c r="V29" s="221">
        <f t="shared" si="12"/>
        <v>0.13169934640522876</v>
      </c>
      <c r="W29" s="221">
        <f t="shared" si="13"/>
        <v>0.21519501046606007</v>
      </c>
      <c r="X29" s="201">
        <f t="shared" si="14"/>
        <v>350</v>
      </c>
      <c r="Y29" s="451">
        <f t="shared" si="54"/>
        <v>350</v>
      </c>
      <c r="AA29" s="221">
        <f t="shared" si="15"/>
        <v>1.1570365118752215</v>
      </c>
      <c r="AB29" s="177">
        <f t="shared" si="16"/>
        <v>1.7724211272598367</v>
      </c>
      <c r="AC29" s="177">
        <f t="shared" si="17"/>
        <v>0.4306587513183206</v>
      </c>
      <c r="AD29" s="177"/>
      <c r="AE29" s="177">
        <f t="shared" si="18"/>
        <v>0.4595588235294118</v>
      </c>
      <c r="AF29" s="555">
        <f t="shared" si="19"/>
        <v>580.26666666666677</v>
      </c>
      <c r="AG29" s="538">
        <f t="shared" si="20"/>
        <v>2.8952205882352939E-2</v>
      </c>
      <c r="AI29" s="177">
        <f t="shared" si="21"/>
        <v>0.40717376657942511</v>
      </c>
      <c r="AJ29" s="177">
        <f t="shared" si="22"/>
        <v>0.40717376657942511</v>
      </c>
      <c r="AK29" s="177">
        <f t="shared" si="23"/>
        <v>1.2714491777196166</v>
      </c>
      <c r="AM29" s="555">
        <f t="shared" si="24"/>
        <v>48</v>
      </c>
      <c r="AN29" s="469">
        <f t="shared" si="25"/>
        <v>350</v>
      </c>
      <c r="AP29">
        <f t="shared" si="26"/>
        <v>48</v>
      </c>
      <c r="AQ29" s="469">
        <f t="shared" si="27"/>
        <v>350</v>
      </c>
      <c r="AR29" s="469"/>
      <c r="AS29" s="5">
        <f t="shared" si="55"/>
        <v>2.8571428571428572</v>
      </c>
      <c r="AT29" s="5">
        <f t="shared" si="28"/>
        <v>0.38172540616821105</v>
      </c>
      <c r="AU29" s="5">
        <f t="shared" si="56"/>
        <v>2.4754174509746463</v>
      </c>
      <c r="AV29" s="5">
        <f t="shared" si="29"/>
        <v>0.62373432380426641</v>
      </c>
      <c r="AW29" s="177">
        <f t="shared" si="57"/>
        <v>0.13360389215887386</v>
      </c>
      <c r="AX29" s="177">
        <f t="shared" si="30"/>
        <v>0.87039999999999984</v>
      </c>
      <c r="AY29" s="177">
        <f t="shared" si="31"/>
        <v>0.21166425994765509</v>
      </c>
      <c r="AZ29" s="177">
        <f t="shared" si="58"/>
        <v>4.112172740996761</v>
      </c>
      <c r="BA29" s="469">
        <f t="shared" si="32"/>
        <v>6.273549245269658</v>
      </c>
      <c r="BB29" s="469">
        <f t="shared" si="33"/>
        <v>0.21819263999999999</v>
      </c>
      <c r="BC29" s="5">
        <f t="shared" si="34"/>
        <v>4.1256957516244093E-2</v>
      </c>
      <c r="BD29" s="469">
        <f t="shared" si="35"/>
        <v>6.6811132025990565</v>
      </c>
      <c r="BE29" s="5"/>
      <c r="BF29" s="177">
        <f t="shared" si="59"/>
        <v>8.5926815569841608E-2</v>
      </c>
      <c r="BG29" s="177">
        <f t="shared" si="36"/>
        <v>0.26257819250369324</v>
      </c>
      <c r="BH29" s="177"/>
      <c r="BI29" s="538">
        <f t="shared" si="37"/>
        <v>2.5841961718907507E-3</v>
      </c>
      <c r="BJ29" s="538">
        <f t="shared" si="38"/>
        <v>3.6756390256657868E-2</v>
      </c>
      <c r="BK29" s="538">
        <f t="shared" si="39"/>
        <v>4.3749999999999995E-3</v>
      </c>
      <c r="BL29" s="538">
        <f t="shared" si="40"/>
        <v>4.6565908480000008E-2</v>
      </c>
      <c r="BM29">
        <f t="shared" si="41"/>
        <v>9.2800000000000001E-3</v>
      </c>
      <c r="BN29">
        <f t="shared" si="42"/>
        <v>2.3625000000000002E-5</v>
      </c>
      <c r="BO29" s="538">
        <f t="shared" si="43"/>
        <v>9.9981656065027028E-2</v>
      </c>
      <c r="BP29" s="469">
        <f t="shared" si="60"/>
        <v>99.981656065027025</v>
      </c>
      <c r="BQ29" s="538">
        <f t="shared" si="44"/>
        <v>4.4673871342189524E-2</v>
      </c>
      <c r="BR29" s="538"/>
      <c r="BT29" s="469">
        <f t="shared" si="61"/>
        <v>44.673871342189521</v>
      </c>
      <c r="BU29" s="538">
        <f t="shared" si="45"/>
        <v>7.3834176339735748E-4</v>
      </c>
      <c r="BV29" s="538">
        <f t="shared" si="46"/>
        <v>2.0684192153551974E-3</v>
      </c>
      <c r="BW29" s="538">
        <f t="shared" si="47"/>
        <v>0</v>
      </c>
      <c r="BX29" s="538">
        <f t="shared" si="48"/>
        <v>3.1442783152173808E-3</v>
      </c>
      <c r="BY29" s="538">
        <f t="shared" si="49"/>
        <v>2.901333333333333E-3</v>
      </c>
      <c r="BZ29" s="469">
        <f t="shared" si="62"/>
        <v>6.0456116485507145</v>
      </c>
      <c r="CA29" s="177">
        <f t="shared" si="63"/>
        <v>0.15070113905576726</v>
      </c>
      <c r="CB29" s="5">
        <f t="shared" si="64"/>
        <v>0.76800000000000002</v>
      </c>
      <c r="CC29" s="177">
        <f t="shared" si="65"/>
        <v>0.83596282550530354</v>
      </c>
      <c r="CD29" s="5">
        <f t="shared" si="66"/>
        <v>83.596282550530361</v>
      </c>
      <c r="CG29" s="571">
        <f t="shared" si="50"/>
        <v>-50</v>
      </c>
      <c r="CH29">
        <f t="shared" si="51"/>
        <v>-50</v>
      </c>
    </row>
    <row r="30" spans="5:86" x14ac:dyDescent="0.25">
      <c r="E30" s="174">
        <v>25</v>
      </c>
      <c r="F30" s="221">
        <f t="shared" si="52"/>
        <v>0.05</v>
      </c>
      <c r="G30" s="221"/>
      <c r="H30" s="221">
        <f t="shared" si="0"/>
        <v>0.8</v>
      </c>
      <c r="I30" s="551">
        <f t="shared" si="1"/>
        <v>32</v>
      </c>
      <c r="J30" s="176">
        <f t="shared" si="2"/>
        <v>19.584</v>
      </c>
      <c r="K30" s="451">
        <f t="shared" si="3"/>
        <v>51.584000000000003</v>
      </c>
      <c r="L30" s="451"/>
      <c r="M30" s="221">
        <f t="shared" si="4"/>
        <v>0.37965260545905705</v>
      </c>
      <c r="N30" s="176">
        <f t="shared" si="5"/>
        <v>8.200496277915633</v>
      </c>
      <c r="O30" s="176">
        <f t="shared" si="53"/>
        <v>0.8</v>
      </c>
      <c r="P30" s="221">
        <f t="shared" si="6"/>
        <v>0.51253101736972706</v>
      </c>
      <c r="Q30" s="221">
        <f t="shared" si="7"/>
        <v>16</v>
      </c>
      <c r="R30" s="221">
        <f t="shared" si="8"/>
        <v>0.56947890818858549</v>
      </c>
      <c r="S30" s="176">
        <f t="shared" si="9"/>
        <v>405.35436826676965</v>
      </c>
      <c r="T30" s="176">
        <f t="shared" si="10"/>
        <v>16</v>
      </c>
      <c r="U30" s="221">
        <f t="shared" si="11"/>
        <v>0.14633260711692087</v>
      </c>
      <c r="V30" s="221">
        <f t="shared" si="12"/>
        <v>0.13718681917211331</v>
      </c>
      <c r="W30" s="221">
        <f t="shared" si="13"/>
        <v>0.22416146923547925</v>
      </c>
      <c r="X30" s="201">
        <f t="shared" si="14"/>
        <v>350</v>
      </c>
      <c r="Y30" s="451">
        <f t="shared" si="54"/>
        <v>350</v>
      </c>
      <c r="AA30" s="221">
        <f t="shared" si="15"/>
        <v>1.1570365118752215</v>
      </c>
      <c r="AB30" s="177">
        <f t="shared" si="16"/>
        <v>1.7724211272598367</v>
      </c>
      <c r="AC30" s="177">
        <f t="shared" si="17"/>
        <v>0.4306587513183206</v>
      </c>
      <c r="AD30" s="177"/>
      <c r="AE30" s="177">
        <f t="shared" si="18"/>
        <v>0.4595588235294118</v>
      </c>
      <c r="AF30" s="555">
        <f t="shared" si="19"/>
        <v>604.44444444444446</v>
      </c>
      <c r="AG30" s="538">
        <f t="shared" si="20"/>
        <v>2.8952205882352939E-2</v>
      </c>
      <c r="AI30" s="177">
        <f t="shared" si="21"/>
        <v>0.41556998531945577</v>
      </c>
      <c r="AJ30" s="177">
        <f t="shared" si="22"/>
        <v>0.41556998531945577</v>
      </c>
      <c r="AK30" s="177">
        <f t="shared" si="23"/>
        <v>1.2770466568796373</v>
      </c>
      <c r="AM30" s="555">
        <f t="shared" si="24"/>
        <v>50</v>
      </c>
      <c r="AN30" s="469">
        <f t="shared" si="25"/>
        <v>350</v>
      </c>
      <c r="AP30">
        <f t="shared" si="26"/>
        <v>50</v>
      </c>
      <c r="AQ30" s="469">
        <f t="shared" si="27"/>
        <v>350</v>
      </c>
      <c r="AR30" s="469"/>
      <c r="AS30" s="5">
        <f t="shared" si="55"/>
        <v>2.8571428571428572</v>
      </c>
      <c r="AT30" s="5">
        <f t="shared" si="28"/>
        <v>0.38959686123698978</v>
      </c>
      <c r="AU30" s="5">
        <f t="shared" si="56"/>
        <v>2.4675459959058674</v>
      </c>
      <c r="AV30" s="5">
        <f t="shared" si="29"/>
        <v>0.63659617849181349</v>
      </c>
      <c r="AW30" s="177">
        <f t="shared" si="57"/>
        <v>0.13635890143294641</v>
      </c>
      <c r="AX30" s="177">
        <f t="shared" si="30"/>
        <v>0.90666666666666662</v>
      </c>
      <c r="AY30" s="177">
        <f t="shared" si="31"/>
        <v>0.21534199119167347</v>
      </c>
      <c r="AZ30" s="177">
        <f t="shared" si="58"/>
        <v>4.2103570309222826</v>
      </c>
      <c r="BA30" s="469">
        <f t="shared" si="32"/>
        <v>6.273549245269658</v>
      </c>
      <c r="BB30" s="469">
        <f t="shared" si="33"/>
        <v>0.23050416666666668</v>
      </c>
      <c r="BC30" s="5">
        <f t="shared" si="34"/>
        <v>4.2839340206699085E-2</v>
      </c>
      <c r="BD30" s="469">
        <f t="shared" si="35"/>
        <v>6.9376277664051882</v>
      </c>
      <c r="BE30" s="5"/>
      <c r="BF30" s="177">
        <f t="shared" si="59"/>
        <v>8.859828033464523E-2</v>
      </c>
      <c r="BG30" s="177">
        <f t="shared" si="36"/>
        <v>0.26756631793734592</v>
      </c>
      <c r="BH30" s="177"/>
      <c r="BI30" s="538">
        <f t="shared" si="37"/>
        <v>2.747379347389734E-3</v>
      </c>
      <c r="BJ30" s="538">
        <f t="shared" si="38"/>
        <v>3.751433371475791E-2</v>
      </c>
      <c r="BK30" s="538">
        <f t="shared" si="39"/>
        <v>4.3749999999999995E-3</v>
      </c>
      <c r="BL30" s="538">
        <f t="shared" si="40"/>
        <v>4.6565908480000008E-2</v>
      </c>
      <c r="BM30">
        <f t="shared" si="41"/>
        <v>9.2800000000000001E-3</v>
      </c>
      <c r="BN30">
        <f t="shared" si="42"/>
        <v>2.3625000000000002E-5</v>
      </c>
      <c r="BO30" s="538">
        <f t="shared" si="43"/>
        <v>0.10092830245161709</v>
      </c>
      <c r="BP30" s="469">
        <f t="shared" si="60"/>
        <v>100.92830245161709</v>
      </c>
      <c r="BQ30" s="538">
        <f t="shared" si="44"/>
        <v>4.6448042576917682E-2</v>
      </c>
      <c r="BR30" s="538"/>
      <c r="BT30" s="469">
        <f t="shared" si="61"/>
        <v>46.448042576917679</v>
      </c>
      <c r="BU30" s="538">
        <f t="shared" si="45"/>
        <v>7.8496552782563844E-4</v>
      </c>
      <c r="BV30" s="538">
        <f t="shared" si="46"/>
        <v>2.1477520348364663E-3</v>
      </c>
      <c r="BW30" s="538">
        <f t="shared" si="47"/>
        <v>0</v>
      </c>
      <c r="BX30" s="538">
        <f t="shared" si="48"/>
        <v>3.2854144856025616E-3</v>
      </c>
      <c r="BY30" s="538">
        <f t="shared" si="49"/>
        <v>3.0222222222222222E-3</v>
      </c>
      <c r="BZ30" s="469">
        <f t="shared" si="62"/>
        <v>6.3076367078247833</v>
      </c>
      <c r="CA30" s="177">
        <f t="shared" si="63"/>
        <v>0.15368398173635958</v>
      </c>
      <c r="CB30" s="5">
        <f t="shared" si="64"/>
        <v>0.8</v>
      </c>
      <c r="CC30" s="177">
        <f t="shared" si="65"/>
        <v>0.83885229837188924</v>
      </c>
      <c r="CD30" s="5">
        <f t="shared" si="66"/>
        <v>83.88522983718893</v>
      </c>
      <c r="CG30" s="571">
        <f t="shared" si="50"/>
        <v>-50</v>
      </c>
      <c r="CH30">
        <f t="shared" si="51"/>
        <v>-50</v>
      </c>
    </row>
    <row r="31" spans="5:86" x14ac:dyDescent="0.25">
      <c r="E31" s="174">
        <v>26</v>
      </c>
      <c r="F31" s="221">
        <f t="shared" si="52"/>
        <v>5.2000000000000005E-2</v>
      </c>
      <c r="G31" s="221"/>
      <c r="H31" s="221">
        <f t="shared" si="0"/>
        <v>0.83200000000000007</v>
      </c>
      <c r="I31" s="551">
        <f t="shared" si="1"/>
        <v>32</v>
      </c>
      <c r="J31" s="176">
        <f t="shared" si="2"/>
        <v>19.584</v>
      </c>
      <c r="K31" s="451">
        <f t="shared" si="3"/>
        <v>51.584000000000003</v>
      </c>
      <c r="L31" s="451"/>
      <c r="M31" s="221">
        <f t="shared" si="4"/>
        <v>0.37965260545905705</v>
      </c>
      <c r="N31" s="176">
        <f t="shared" si="5"/>
        <v>8.200496277915633</v>
      </c>
      <c r="O31" s="176">
        <f t="shared" si="53"/>
        <v>0.83200000000000007</v>
      </c>
      <c r="P31" s="221">
        <f t="shared" si="6"/>
        <v>0.51253101736972706</v>
      </c>
      <c r="Q31" s="221">
        <f t="shared" si="7"/>
        <v>16</v>
      </c>
      <c r="R31" s="221">
        <f t="shared" si="8"/>
        <v>0.56947890818858549</v>
      </c>
      <c r="S31" s="176">
        <f t="shared" si="9"/>
        <v>388.73988193113678</v>
      </c>
      <c r="T31" s="176">
        <f t="shared" si="10"/>
        <v>16</v>
      </c>
      <c r="U31" s="221">
        <f t="shared" si="11"/>
        <v>0.15218591140159771</v>
      </c>
      <c r="V31" s="221">
        <f t="shared" si="12"/>
        <v>0.14267429193899786</v>
      </c>
      <c r="W31" s="221">
        <f t="shared" si="13"/>
        <v>0.23312792800489845</v>
      </c>
      <c r="X31" s="201">
        <f t="shared" si="14"/>
        <v>350</v>
      </c>
      <c r="Y31" s="451">
        <f t="shared" si="54"/>
        <v>350</v>
      </c>
      <c r="AA31" s="221">
        <f t="shared" si="15"/>
        <v>1.1570365118752215</v>
      </c>
      <c r="AB31" s="177">
        <f t="shared" si="16"/>
        <v>1.7724211272598367</v>
      </c>
      <c r="AC31" s="177">
        <f t="shared" si="17"/>
        <v>0.4306587513183206</v>
      </c>
      <c r="AD31" s="177"/>
      <c r="AE31" s="177">
        <f t="shared" si="18"/>
        <v>0.4595588235294118</v>
      </c>
      <c r="AF31" s="555">
        <f t="shared" si="19"/>
        <v>628.62222222222238</v>
      </c>
      <c r="AG31" s="538">
        <f t="shared" si="20"/>
        <v>2.8952205882352939E-2</v>
      </c>
      <c r="AI31" s="177">
        <f t="shared" si="21"/>
        <v>0.42379989288147446</v>
      </c>
      <c r="AJ31" s="177">
        <f t="shared" si="22"/>
        <v>0.42379989288147446</v>
      </c>
      <c r="AK31" s="177">
        <f t="shared" si="23"/>
        <v>1.282533261920983</v>
      </c>
      <c r="AM31" s="555">
        <f t="shared" si="24"/>
        <v>52.000000000000007</v>
      </c>
      <c r="AN31" s="469">
        <f t="shared" si="25"/>
        <v>350</v>
      </c>
      <c r="AP31">
        <f t="shared" si="26"/>
        <v>52.000000000000007</v>
      </c>
      <c r="AQ31" s="469">
        <f t="shared" si="27"/>
        <v>350</v>
      </c>
      <c r="AR31" s="469"/>
      <c r="AS31" s="5">
        <f t="shared" si="55"/>
        <v>2.8571428571428572</v>
      </c>
      <c r="AT31" s="5">
        <f t="shared" si="28"/>
        <v>0.39731239957638231</v>
      </c>
      <c r="AU31" s="5">
        <f t="shared" si="56"/>
        <v>2.4598304575664747</v>
      </c>
      <c r="AV31" s="5">
        <f t="shared" si="29"/>
        <v>0.64920326728167044</v>
      </c>
      <c r="AW31" s="177">
        <f t="shared" si="57"/>
        <v>0.1390593398517338</v>
      </c>
      <c r="AX31" s="177">
        <f t="shared" si="30"/>
        <v>0.9429333333333334</v>
      </c>
      <c r="AY31" s="177">
        <f t="shared" si="31"/>
        <v>0.21891993572888468</v>
      </c>
      <c r="AZ31" s="177">
        <f t="shared" si="58"/>
        <v>4.3072063318211598</v>
      </c>
      <c r="BA31" s="469">
        <f t="shared" si="32"/>
        <v>6.273549245269658</v>
      </c>
      <c r="BB31" s="469">
        <f t="shared" si="33"/>
        <v>0.24307330666666671</v>
      </c>
      <c r="BC31" s="5">
        <f t="shared" si="34"/>
        <v>4.441360548383913E-2</v>
      </c>
      <c r="BD31" s="469">
        <f t="shared" si="35"/>
        <v>7.1928435440809269</v>
      </c>
      <c r="BE31" s="5"/>
      <c r="BF31" s="177">
        <f t="shared" si="59"/>
        <v>9.1243155640692478E-2</v>
      </c>
      <c r="BG31" s="177">
        <f t="shared" si="36"/>
        <v>0.27243824300053121</v>
      </c>
      <c r="BH31" s="177"/>
      <c r="BI31" s="538">
        <f t="shared" si="37"/>
        <v>2.913859707945071E-3</v>
      </c>
      <c r="BJ31" s="538">
        <f t="shared" si="38"/>
        <v>3.8257263930196468E-2</v>
      </c>
      <c r="BK31" s="538">
        <f t="shared" si="39"/>
        <v>4.3749999999999995E-3</v>
      </c>
      <c r="BL31" s="538">
        <f t="shared" si="40"/>
        <v>4.6565908480000008E-2</v>
      </c>
      <c r="BM31">
        <f t="shared" si="41"/>
        <v>9.2800000000000001E-3</v>
      </c>
      <c r="BN31">
        <f t="shared" si="42"/>
        <v>2.3625000000000002E-5</v>
      </c>
      <c r="BO31" s="538">
        <f t="shared" si="43"/>
        <v>0.10186379087756445</v>
      </c>
      <c r="BP31" s="469">
        <f t="shared" si="60"/>
        <v>101.86379087756444</v>
      </c>
      <c r="BQ31" s="538">
        <f t="shared" si="44"/>
        <v>4.8217031767200713E-2</v>
      </c>
      <c r="BR31" s="538"/>
      <c r="BT31" s="469">
        <f t="shared" si="61"/>
        <v>48.217031767200716</v>
      </c>
      <c r="BU31" s="538">
        <f t="shared" si="45"/>
        <v>8.3253134512716325E-4</v>
      </c>
      <c r="BV31" s="538">
        <f t="shared" si="46"/>
        <v>2.2266778874764949E-3</v>
      </c>
      <c r="BW31" s="538">
        <f t="shared" si="47"/>
        <v>0</v>
      </c>
      <c r="BX31" s="538">
        <f t="shared" si="48"/>
        <v>3.4271530907862475E-3</v>
      </c>
      <c r="BY31" s="538">
        <f t="shared" si="49"/>
        <v>3.1431111111111113E-3</v>
      </c>
      <c r="BZ31" s="469">
        <f t="shared" si="62"/>
        <v>6.5702642018973592</v>
      </c>
      <c r="CA31" s="177">
        <f t="shared" si="63"/>
        <v>0.15665108684666254</v>
      </c>
      <c r="CB31" s="5">
        <f t="shared" si="64"/>
        <v>0.83200000000000007</v>
      </c>
      <c r="CC31" s="177">
        <f t="shared" si="65"/>
        <v>0.84155068564552271</v>
      </c>
      <c r="CD31" s="5">
        <f t="shared" si="66"/>
        <v>84.155068564552266</v>
      </c>
      <c r="CG31" s="571">
        <f t="shared" si="50"/>
        <v>-50</v>
      </c>
      <c r="CH31">
        <f t="shared" si="51"/>
        <v>-50</v>
      </c>
    </row>
    <row r="32" spans="5:86" x14ac:dyDescent="0.25">
      <c r="E32" s="174">
        <v>27</v>
      </c>
      <c r="F32" s="221">
        <f t="shared" si="52"/>
        <v>5.4000000000000006E-2</v>
      </c>
      <c r="G32" s="221"/>
      <c r="H32" s="221">
        <f t="shared" si="0"/>
        <v>0.8640000000000001</v>
      </c>
      <c r="I32" s="551">
        <f t="shared" si="1"/>
        <v>32</v>
      </c>
      <c r="J32" s="176">
        <f t="shared" si="2"/>
        <v>19.584</v>
      </c>
      <c r="K32" s="451">
        <f t="shared" si="3"/>
        <v>51.584000000000003</v>
      </c>
      <c r="L32" s="451"/>
      <c r="M32" s="221">
        <f t="shared" si="4"/>
        <v>0.37965260545905705</v>
      </c>
      <c r="N32" s="176">
        <f t="shared" si="5"/>
        <v>8.200496277915633</v>
      </c>
      <c r="O32" s="176">
        <f t="shared" si="53"/>
        <v>0.8640000000000001</v>
      </c>
      <c r="P32" s="221">
        <f t="shared" si="6"/>
        <v>0.51253101736972706</v>
      </c>
      <c r="Q32" s="221">
        <f t="shared" si="7"/>
        <v>16</v>
      </c>
      <c r="R32" s="221">
        <f t="shared" si="8"/>
        <v>0.56947890818858549</v>
      </c>
      <c r="S32" s="176">
        <f t="shared" si="9"/>
        <v>373.35616950547831</v>
      </c>
      <c r="T32" s="176">
        <f t="shared" si="10"/>
        <v>16</v>
      </c>
      <c r="U32" s="221">
        <f t="shared" si="11"/>
        <v>0.15803921568627455</v>
      </c>
      <c r="V32" s="221">
        <f t="shared" si="12"/>
        <v>0.14816176470588238</v>
      </c>
      <c r="W32" s="221">
        <f t="shared" si="13"/>
        <v>0.24209438677431766</v>
      </c>
      <c r="X32" s="201">
        <f t="shared" si="14"/>
        <v>350</v>
      </c>
      <c r="Y32" s="451">
        <f t="shared" si="54"/>
        <v>350</v>
      </c>
      <c r="AA32" s="221">
        <f t="shared" si="15"/>
        <v>1.1570365118752215</v>
      </c>
      <c r="AB32" s="177">
        <f t="shared" si="16"/>
        <v>1.7724211272598367</v>
      </c>
      <c r="AC32" s="177">
        <f t="shared" si="17"/>
        <v>0.4306587513183206</v>
      </c>
      <c r="AD32" s="177"/>
      <c r="AE32" s="177">
        <f t="shared" si="18"/>
        <v>0.4595588235294118</v>
      </c>
      <c r="AF32" s="555">
        <f t="shared" si="19"/>
        <v>652.80000000000007</v>
      </c>
      <c r="AG32" s="538">
        <f t="shared" si="20"/>
        <v>2.8952205882352939E-2</v>
      </c>
      <c r="AI32" s="177">
        <f t="shared" si="21"/>
        <v>0.43187299720436995</v>
      </c>
      <c r="AJ32" s="177">
        <f t="shared" si="22"/>
        <v>0.43187299720436995</v>
      </c>
      <c r="AK32" s="177">
        <f t="shared" si="23"/>
        <v>1.2879153314695799</v>
      </c>
      <c r="AM32" s="555">
        <f t="shared" si="24"/>
        <v>54.000000000000007</v>
      </c>
      <c r="AN32" s="469">
        <f t="shared" si="25"/>
        <v>350</v>
      </c>
      <c r="AP32">
        <f t="shared" si="26"/>
        <v>54.000000000000007</v>
      </c>
      <c r="AQ32" s="469">
        <f t="shared" si="27"/>
        <v>350</v>
      </c>
      <c r="AR32" s="469"/>
      <c r="AS32" s="5">
        <f t="shared" si="55"/>
        <v>2.8571428571428572</v>
      </c>
      <c r="AT32" s="5">
        <f t="shared" si="28"/>
        <v>0.40488093487909688</v>
      </c>
      <c r="AU32" s="5">
        <f t="shared" si="56"/>
        <v>2.4522619222637605</v>
      </c>
      <c r="AV32" s="5">
        <f t="shared" si="29"/>
        <v>0.66157015503120409</v>
      </c>
      <c r="AW32" s="177">
        <f t="shared" si="57"/>
        <v>0.14170832720768389</v>
      </c>
      <c r="AX32" s="177">
        <f t="shared" si="30"/>
        <v>0.97920000000000018</v>
      </c>
      <c r="AY32" s="177">
        <f t="shared" si="31"/>
        <v>0.22240379832262194</v>
      </c>
      <c r="AZ32" s="177">
        <f t="shared" si="58"/>
        <v>4.4028025033077878</v>
      </c>
      <c r="BA32" s="469">
        <f t="shared" si="32"/>
        <v>6.273549245269658</v>
      </c>
      <c r="BB32" s="469">
        <f t="shared" si="33"/>
        <v>0.25590006000000004</v>
      </c>
      <c r="BC32" s="5">
        <f t="shared" si="34"/>
        <v>4.5979911042445511E-2</v>
      </c>
      <c r="BD32" s="469">
        <f t="shared" si="35"/>
        <v>7.4467857667912822</v>
      </c>
      <c r="BE32" s="5"/>
      <c r="BF32" s="177">
        <f t="shared" si="59"/>
        <v>9.3862714338384376E-2</v>
      </c>
      <c r="BG32" s="177">
        <f t="shared" si="36"/>
        <v>0.27720056994346454</v>
      </c>
      <c r="BH32" s="177"/>
      <c r="BI32" s="538">
        <f t="shared" si="37"/>
        <v>3.0835732000392018E-3</v>
      </c>
      <c r="BJ32" s="538">
        <f t="shared" si="38"/>
        <v>3.8986039203632882E-2</v>
      </c>
      <c r="BK32" s="538">
        <f t="shared" si="39"/>
        <v>4.3749999999999995E-3</v>
      </c>
      <c r="BL32" s="538">
        <f t="shared" si="40"/>
        <v>4.6565908480000008E-2</v>
      </c>
      <c r="BM32">
        <f t="shared" si="41"/>
        <v>9.2800000000000001E-3</v>
      </c>
      <c r="BN32">
        <f t="shared" si="42"/>
        <v>2.3625000000000002E-5</v>
      </c>
      <c r="BO32" s="538">
        <f t="shared" si="43"/>
        <v>0.10278890685402889</v>
      </c>
      <c r="BP32" s="469">
        <f t="shared" si="60"/>
        <v>102.78890685402889</v>
      </c>
      <c r="BQ32" s="538">
        <f t="shared" si="44"/>
        <v>4.9980939583206964E-2</v>
      </c>
      <c r="BR32" s="538"/>
      <c r="BT32" s="469">
        <f t="shared" si="61"/>
        <v>49.980939583206961</v>
      </c>
      <c r="BU32" s="538">
        <f t="shared" si="45"/>
        <v>8.8102091429691481E-4</v>
      </c>
      <c r="BV32" s="538">
        <f t="shared" si="46"/>
        <v>2.3052046793094472E-3</v>
      </c>
      <c r="BW32" s="538">
        <f t="shared" si="47"/>
        <v>0</v>
      </c>
      <c r="BX32" s="538">
        <f t="shared" si="48"/>
        <v>3.569482518963754E-3</v>
      </c>
      <c r="BY32" s="538">
        <f t="shared" si="49"/>
        <v>3.2640000000000008E-3</v>
      </c>
      <c r="BZ32" s="469">
        <f t="shared" si="62"/>
        <v>6.8334825189637547</v>
      </c>
      <c r="CA32" s="177">
        <f t="shared" si="63"/>
        <v>0.15960332895619958</v>
      </c>
      <c r="CB32" s="5">
        <f t="shared" si="64"/>
        <v>0.8640000000000001</v>
      </c>
      <c r="CC32" s="177">
        <f t="shared" si="65"/>
        <v>0.84407697352943145</v>
      </c>
      <c r="CD32" s="5">
        <f t="shared" si="66"/>
        <v>84.407697352943146</v>
      </c>
      <c r="CG32" s="571">
        <f t="shared" si="50"/>
        <v>-50</v>
      </c>
      <c r="CH32">
        <f t="shared" si="51"/>
        <v>-50</v>
      </c>
    </row>
    <row r="33" spans="5:86" x14ac:dyDescent="0.25">
      <c r="E33" s="174">
        <v>28</v>
      </c>
      <c r="F33" s="221">
        <f t="shared" si="52"/>
        <v>5.6000000000000008E-2</v>
      </c>
      <c r="G33" s="221"/>
      <c r="H33" s="221">
        <f t="shared" si="0"/>
        <v>0.89600000000000013</v>
      </c>
      <c r="I33" s="551">
        <f t="shared" si="1"/>
        <v>32</v>
      </c>
      <c r="J33" s="176">
        <f t="shared" si="2"/>
        <v>19.584</v>
      </c>
      <c r="K33" s="451">
        <f t="shared" si="3"/>
        <v>51.584000000000003</v>
      </c>
      <c r="L33" s="451"/>
      <c r="M33" s="221">
        <f t="shared" si="4"/>
        <v>0.37965260545905705</v>
      </c>
      <c r="N33" s="176">
        <f t="shared" si="5"/>
        <v>8.200496277915633</v>
      </c>
      <c r="O33" s="176">
        <f t="shared" si="53"/>
        <v>0.89600000000000013</v>
      </c>
      <c r="P33" s="221">
        <f t="shared" si="6"/>
        <v>0.51253101736972706</v>
      </c>
      <c r="Q33" s="221">
        <f t="shared" si="7"/>
        <v>16</v>
      </c>
      <c r="R33" s="221">
        <f t="shared" si="8"/>
        <v>0.56947890818858549</v>
      </c>
      <c r="S33" s="176">
        <f t="shared" si="9"/>
        <v>359.07136289406156</v>
      </c>
      <c r="T33" s="176">
        <f t="shared" si="10"/>
        <v>16</v>
      </c>
      <c r="U33" s="221">
        <f t="shared" si="11"/>
        <v>0.16389251997095139</v>
      </c>
      <c r="V33" s="221">
        <f t="shared" si="12"/>
        <v>0.15364923747276693</v>
      </c>
      <c r="W33" s="221">
        <f t="shared" si="13"/>
        <v>0.25106084554373681</v>
      </c>
      <c r="X33" s="201">
        <f t="shared" si="14"/>
        <v>350</v>
      </c>
      <c r="Y33" s="451">
        <f t="shared" si="54"/>
        <v>350</v>
      </c>
      <c r="AA33" s="221">
        <f t="shared" si="15"/>
        <v>1.1570365118752215</v>
      </c>
      <c r="AB33" s="177">
        <f t="shared" si="16"/>
        <v>1.7724211272598367</v>
      </c>
      <c r="AC33" s="177">
        <f t="shared" si="17"/>
        <v>0.4306587513183206</v>
      </c>
      <c r="AD33" s="177"/>
      <c r="AE33" s="177">
        <f t="shared" si="18"/>
        <v>0.4595588235294118</v>
      </c>
      <c r="AF33" s="555">
        <f t="shared" si="19"/>
        <v>676.97777777777799</v>
      </c>
      <c r="AG33" s="538">
        <f t="shared" si="20"/>
        <v>2.8952205882352939E-2</v>
      </c>
      <c r="AI33" s="177">
        <f t="shared" si="21"/>
        <v>0.43979793339921713</v>
      </c>
      <c r="AJ33" s="177">
        <f t="shared" si="22"/>
        <v>0.43979793339921713</v>
      </c>
      <c r="AK33" s="177">
        <f t="shared" si="23"/>
        <v>1.2931986222661447</v>
      </c>
      <c r="AM33" s="555">
        <f t="shared" si="24"/>
        <v>56.000000000000007</v>
      </c>
      <c r="AN33" s="469">
        <f t="shared" si="25"/>
        <v>350</v>
      </c>
      <c r="AP33">
        <f t="shared" si="26"/>
        <v>56.000000000000007</v>
      </c>
      <c r="AQ33" s="469">
        <f t="shared" si="27"/>
        <v>350</v>
      </c>
      <c r="AR33" s="469"/>
      <c r="AS33" s="5">
        <f t="shared" si="55"/>
        <v>2.8571428571428572</v>
      </c>
      <c r="AT33" s="5">
        <f t="shared" si="28"/>
        <v>0.41231056256176607</v>
      </c>
      <c r="AU33" s="5">
        <f t="shared" si="56"/>
        <v>2.444832294581091</v>
      </c>
      <c r="AV33" s="5">
        <f t="shared" si="29"/>
        <v>0.67371006954536938</v>
      </c>
      <c r="AW33" s="177">
        <f t="shared" si="57"/>
        <v>0.14430869689661813</v>
      </c>
      <c r="AX33" s="177">
        <f t="shared" si="30"/>
        <v>1.0154666666666667</v>
      </c>
      <c r="AY33" s="177">
        <f t="shared" si="31"/>
        <v>0.22579876003953028</v>
      </c>
      <c r="AZ33" s="177">
        <f t="shared" si="58"/>
        <v>4.4972198540367998</v>
      </c>
      <c r="BA33" s="469">
        <f t="shared" si="32"/>
        <v>6.273549245269658</v>
      </c>
      <c r="BB33" s="469">
        <f t="shared" si="33"/>
        <v>0.26898442666666667</v>
      </c>
      <c r="BC33" s="5">
        <f t="shared" si="34"/>
        <v>4.7538405727965659E-2</v>
      </c>
      <c r="BD33" s="469">
        <f t="shared" si="35"/>
        <v>7.6994782498078385</v>
      </c>
      <c r="BE33" s="5"/>
      <c r="BF33" s="177">
        <f t="shared" si="59"/>
        <v>9.6458123624947531E-2</v>
      </c>
      <c r="BG33" s="177">
        <f t="shared" si="36"/>
        <v>0.28185929543584848</v>
      </c>
      <c r="BH33" s="177"/>
      <c r="BI33" s="538">
        <f t="shared" si="37"/>
        <v>3.2564593646359813E-3</v>
      </c>
      <c r="BJ33" s="538">
        <f t="shared" si="38"/>
        <v>3.9701439043814131E-2</v>
      </c>
      <c r="BK33" s="538">
        <f t="shared" si="39"/>
        <v>4.3749999999999995E-3</v>
      </c>
      <c r="BL33" s="538">
        <f t="shared" si="40"/>
        <v>4.6565908480000008E-2</v>
      </c>
      <c r="BM33">
        <f t="shared" si="41"/>
        <v>9.2800000000000001E-3</v>
      </c>
      <c r="BN33">
        <f t="shared" si="42"/>
        <v>2.3625000000000002E-5</v>
      </c>
      <c r="BO33" s="538">
        <f t="shared" si="43"/>
        <v>0.10370436122023295</v>
      </c>
      <c r="BP33" s="469">
        <f t="shared" si="60"/>
        <v>103.70436122023295</v>
      </c>
      <c r="BQ33" s="538">
        <f t="shared" si="44"/>
        <v>5.1739861045812498E-2</v>
      </c>
      <c r="BR33" s="538"/>
      <c r="BT33" s="469">
        <f t="shared" si="61"/>
        <v>51.739861045812496</v>
      </c>
      <c r="BU33" s="538">
        <f t="shared" si="45"/>
        <v>9.3041696132456627E-4</v>
      </c>
      <c r="BV33" s="538">
        <f t="shared" si="46"/>
        <v>2.3833398727077871E-3</v>
      </c>
      <c r="BW33" s="538">
        <f t="shared" si="47"/>
        <v>0</v>
      </c>
      <c r="BX33" s="538">
        <f t="shared" si="48"/>
        <v>3.7123918112150376E-3</v>
      </c>
      <c r="BY33" s="538">
        <f t="shared" si="49"/>
        <v>3.3848888888888891E-3</v>
      </c>
      <c r="BZ33" s="469">
        <f t="shared" si="62"/>
        <v>7.0972807001039273</v>
      </c>
      <c r="CA33" s="177">
        <f t="shared" si="63"/>
        <v>0.16254150296614939</v>
      </c>
      <c r="CB33" s="5">
        <f t="shared" si="64"/>
        <v>0.89600000000000013</v>
      </c>
      <c r="CC33" s="177">
        <f t="shared" si="65"/>
        <v>0.84644768059571562</v>
      </c>
      <c r="CD33" s="5">
        <f t="shared" si="66"/>
        <v>84.644768059571561</v>
      </c>
      <c r="CG33" s="571">
        <f t="shared" si="50"/>
        <v>-50</v>
      </c>
      <c r="CH33">
        <f t="shared" si="51"/>
        <v>-50</v>
      </c>
    </row>
    <row r="34" spans="5:86" x14ac:dyDescent="0.25">
      <c r="E34" s="174">
        <v>29</v>
      </c>
      <c r="F34" s="221">
        <f t="shared" si="52"/>
        <v>5.7999999999999996E-2</v>
      </c>
      <c r="G34" s="221"/>
      <c r="H34" s="221">
        <f t="shared" si="0"/>
        <v>0.92799999999999994</v>
      </c>
      <c r="I34" s="551">
        <f t="shared" si="1"/>
        <v>32</v>
      </c>
      <c r="J34" s="176">
        <f t="shared" si="2"/>
        <v>19.584</v>
      </c>
      <c r="K34" s="451">
        <f t="shared" si="3"/>
        <v>51.584000000000003</v>
      </c>
      <c r="L34" s="451"/>
      <c r="M34" s="221">
        <f t="shared" si="4"/>
        <v>0.37965260545905705</v>
      </c>
      <c r="N34" s="176">
        <f t="shared" si="5"/>
        <v>8.200496277915633</v>
      </c>
      <c r="O34" s="176">
        <f t="shared" si="53"/>
        <v>0.92799999999999994</v>
      </c>
      <c r="P34" s="221">
        <f t="shared" si="6"/>
        <v>0.51253101736972706</v>
      </c>
      <c r="Q34" s="221">
        <f t="shared" si="7"/>
        <v>16</v>
      </c>
      <c r="R34" s="221">
        <f t="shared" si="8"/>
        <v>0.56947890818858549</v>
      </c>
      <c r="S34" s="176">
        <f t="shared" si="9"/>
        <v>345.77178270936497</v>
      </c>
      <c r="T34" s="176">
        <f t="shared" si="10"/>
        <v>16</v>
      </c>
      <c r="U34" s="221">
        <f t="shared" si="11"/>
        <v>0.16974582425562817</v>
      </c>
      <c r="V34" s="221">
        <f t="shared" si="12"/>
        <v>0.15913671023965142</v>
      </c>
      <c r="W34" s="221">
        <f t="shared" si="13"/>
        <v>0.2600273043131559</v>
      </c>
      <c r="X34" s="201">
        <f t="shared" si="14"/>
        <v>350</v>
      </c>
      <c r="Y34" s="451">
        <f t="shared" si="54"/>
        <v>350</v>
      </c>
      <c r="AA34" s="221">
        <f t="shared" si="15"/>
        <v>1.1570365118752215</v>
      </c>
      <c r="AB34" s="177">
        <f t="shared" si="16"/>
        <v>1.7724211272598367</v>
      </c>
      <c r="AC34" s="177">
        <f t="shared" si="17"/>
        <v>0.4306587513183206</v>
      </c>
      <c r="AD34" s="177"/>
      <c r="AE34" s="177">
        <f t="shared" si="18"/>
        <v>0.4595588235294118</v>
      </c>
      <c r="AF34" s="555">
        <f t="shared" si="19"/>
        <v>701.15555555555557</v>
      </c>
      <c r="AG34" s="538">
        <f t="shared" si="20"/>
        <v>2.8952205882352939E-2</v>
      </c>
      <c r="AI34" s="177">
        <f t="shared" si="21"/>
        <v>0.44758257196874712</v>
      </c>
      <c r="AJ34" s="177">
        <f t="shared" si="22"/>
        <v>0.44758257196874712</v>
      </c>
      <c r="AK34" s="177">
        <f t="shared" si="23"/>
        <v>1.2983883813124981</v>
      </c>
      <c r="AM34" s="555">
        <f t="shared" si="24"/>
        <v>57.999999999999993</v>
      </c>
      <c r="AN34" s="469">
        <f t="shared" si="25"/>
        <v>350</v>
      </c>
      <c r="AP34">
        <f t="shared" si="26"/>
        <v>57.999999999999993</v>
      </c>
      <c r="AQ34" s="469">
        <f t="shared" si="27"/>
        <v>350</v>
      </c>
      <c r="AR34" s="469"/>
      <c r="AS34" s="5">
        <f t="shared" si="55"/>
        <v>2.8571428571428572</v>
      </c>
      <c r="AT34" s="5">
        <f t="shared" si="28"/>
        <v>0.4196086612207004</v>
      </c>
      <c r="AU34" s="5">
        <f t="shared" si="56"/>
        <v>2.437534195922157</v>
      </c>
      <c r="AV34" s="5">
        <f t="shared" si="29"/>
        <v>0.68563506735408575</v>
      </c>
      <c r="AW34" s="177">
        <f t="shared" si="57"/>
        <v>0.14686303142724513</v>
      </c>
      <c r="AX34" s="177">
        <f t="shared" si="30"/>
        <v>1.0517333333333332</v>
      </c>
      <c r="AY34" s="177">
        <f t="shared" si="31"/>
        <v>0.22910954318124827</v>
      </c>
      <c r="AZ34" s="177">
        <f t="shared" si="58"/>
        <v>4.5905260807984254</v>
      </c>
      <c r="BA34" s="469">
        <f t="shared" si="32"/>
        <v>6.273549245269658</v>
      </c>
      <c r="BB34" s="469">
        <f t="shared" si="33"/>
        <v>0.28232640666666659</v>
      </c>
      <c r="BC34" s="5">
        <f t="shared" si="34"/>
        <v>4.9089230334543439E-2</v>
      </c>
      <c r="BD34" s="469">
        <f t="shared" si="35"/>
        <v>7.9509435201936176</v>
      </c>
      <c r="BE34" s="5"/>
      <c r="BF34" s="177">
        <f t="shared" si="59"/>
        <v>9.9030457263430322E-2</v>
      </c>
      <c r="BG34" s="177">
        <f t="shared" si="36"/>
        <v>0.28641988562199772</v>
      </c>
      <c r="BH34" s="177"/>
      <c r="BI34" s="538">
        <f t="shared" si="37"/>
        <v>3.4324610130314344E-3</v>
      </c>
      <c r="BJ34" s="538">
        <f t="shared" si="38"/>
        <v>4.0404173936762745E-2</v>
      </c>
      <c r="BK34" s="538">
        <f t="shared" si="39"/>
        <v>4.3749999999999995E-3</v>
      </c>
      <c r="BL34" s="538">
        <f t="shared" si="40"/>
        <v>4.6565908480000008E-2</v>
      </c>
      <c r="BM34">
        <f t="shared" si="41"/>
        <v>9.2800000000000001E-3</v>
      </c>
      <c r="BN34">
        <f t="shared" si="42"/>
        <v>2.3625000000000002E-5</v>
      </c>
      <c r="BO34" s="538">
        <f t="shared" si="43"/>
        <v>0.10461079954113685</v>
      </c>
      <c r="BP34" s="469">
        <f t="shared" si="60"/>
        <v>104.61079954113684</v>
      </c>
      <c r="BQ34" s="538">
        <f t="shared" si="44"/>
        <v>5.3493886036052374E-2</v>
      </c>
      <c r="BR34" s="538"/>
      <c r="BT34" s="469">
        <f t="shared" si="61"/>
        <v>53.493886036052373</v>
      </c>
      <c r="BU34" s="538">
        <f t="shared" si="45"/>
        <v>9.8070314658041001E-4</v>
      </c>
      <c r="BV34" s="538">
        <f t="shared" si="46"/>
        <v>2.4610905263915475E-3</v>
      </c>
      <c r="BW34" s="538">
        <f t="shared" si="47"/>
        <v>0</v>
      </c>
      <c r="BX34" s="538">
        <f t="shared" si="48"/>
        <v>3.8558706026121021E-3</v>
      </c>
      <c r="BY34" s="538">
        <f t="shared" si="49"/>
        <v>3.5057777777777774E-3</v>
      </c>
      <c r="BZ34" s="469">
        <f t="shared" si="62"/>
        <v>7.3616483803898793</v>
      </c>
      <c r="CA34" s="177">
        <f t="shared" si="63"/>
        <v>0.16546633395757909</v>
      </c>
      <c r="CB34" s="5">
        <f t="shared" si="64"/>
        <v>0.92799999999999994</v>
      </c>
      <c r="CC34" s="177">
        <f t="shared" si="65"/>
        <v>0.84867724883791595</v>
      </c>
      <c r="CD34" s="5">
        <f t="shared" si="66"/>
        <v>84.867724883791595</v>
      </c>
      <c r="CG34" s="571">
        <f t="shared" si="50"/>
        <v>-50</v>
      </c>
      <c r="CH34">
        <f t="shared" si="51"/>
        <v>-50</v>
      </c>
    </row>
    <row r="35" spans="5:86" x14ac:dyDescent="0.25">
      <c r="E35" s="174">
        <v>30</v>
      </c>
      <c r="F35" s="221">
        <f t="shared" si="52"/>
        <v>0.06</v>
      </c>
      <c r="G35" s="221"/>
      <c r="H35" s="221">
        <f t="shared" si="0"/>
        <v>0.96</v>
      </c>
      <c r="I35" s="551">
        <f t="shared" si="1"/>
        <v>32</v>
      </c>
      <c r="J35" s="176">
        <f t="shared" si="2"/>
        <v>19.584</v>
      </c>
      <c r="K35" s="451">
        <f t="shared" si="3"/>
        <v>51.584000000000003</v>
      </c>
      <c r="L35" s="451"/>
      <c r="M35" s="221">
        <f t="shared" si="4"/>
        <v>0.37965260545905705</v>
      </c>
      <c r="N35" s="176">
        <f t="shared" si="5"/>
        <v>8.200496277915633</v>
      </c>
      <c r="O35" s="176">
        <f t="shared" si="53"/>
        <v>0.96</v>
      </c>
      <c r="P35" s="221">
        <f t="shared" si="6"/>
        <v>0.51253101736972706</v>
      </c>
      <c r="Q35" s="221">
        <f t="shared" si="7"/>
        <v>16</v>
      </c>
      <c r="R35" s="221">
        <f t="shared" si="8"/>
        <v>0.56947890818858549</v>
      </c>
      <c r="S35" s="176">
        <f t="shared" si="9"/>
        <v>333.35890682077559</v>
      </c>
      <c r="T35" s="176">
        <f t="shared" si="10"/>
        <v>16</v>
      </c>
      <c r="U35" s="221">
        <f t="shared" si="11"/>
        <v>0.17559912854030502</v>
      </c>
      <c r="V35" s="221">
        <f t="shared" si="12"/>
        <v>0.16462418300653595</v>
      </c>
      <c r="W35" s="221">
        <f t="shared" si="13"/>
        <v>0.26899376308257511</v>
      </c>
      <c r="X35" s="201">
        <f t="shared" si="14"/>
        <v>350</v>
      </c>
      <c r="Y35" s="451">
        <f t="shared" si="54"/>
        <v>350</v>
      </c>
      <c r="AA35" s="221">
        <f t="shared" si="15"/>
        <v>1.1570365118752215</v>
      </c>
      <c r="AB35" s="177">
        <f t="shared" si="16"/>
        <v>1.7724211272598367</v>
      </c>
      <c r="AC35" s="177">
        <f t="shared" si="17"/>
        <v>0.4306587513183206</v>
      </c>
      <c r="AD35" s="177"/>
      <c r="AE35" s="177">
        <f t="shared" si="18"/>
        <v>0.4595588235294118</v>
      </c>
      <c r="AF35" s="555">
        <f t="shared" si="19"/>
        <v>725.33333333333337</v>
      </c>
      <c r="AG35" s="538">
        <f t="shared" si="20"/>
        <v>2.8952205882352939E-2</v>
      </c>
      <c r="AI35" s="177">
        <f t="shared" si="21"/>
        <v>0.45523411036311329</v>
      </c>
      <c r="AJ35" s="177">
        <f t="shared" si="22"/>
        <v>0.45523411036311329</v>
      </c>
      <c r="AK35" s="177">
        <f t="shared" si="23"/>
        <v>1.3034894069087422</v>
      </c>
      <c r="AM35" s="555">
        <f t="shared" si="24"/>
        <v>60</v>
      </c>
      <c r="AN35" s="469">
        <f t="shared" si="25"/>
        <v>350</v>
      </c>
      <c r="AP35">
        <f t="shared" si="26"/>
        <v>60</v>
      </c>
      <c r="AQ35" s="469">
        <f t="shared" si="27"/>
        <v>350</v>
      </c>
      <c r="AR35" s="469"/>
      <c r="AS35" s="5">
        <f t="shared" si="55"/>
        <v>2.8571428571428572</v>
      </c>
      <c r="AT35" s="5">
        <f t="shared" si="28"/>
        <v>0.42678197846541871</v>
      </c>
      <c r="AU35" s="5">
        <f t="shared" si="56"/>
        <v>2.4303608786774387</v>
      </c>
      <c r="AV35" s="5">
        <f t="shared" si="29"/>
        <v>0.69735617396310245</v>
      </c>
      <c r="AW35" s="177">
        <f t="shared" si="57"/>
        <v>0.14937369246289656</v>
      </c>
      <c r="AX35" s="177">
        <f t="shared" si="30"/>
        <v>1.0879999999999999</v>
      </c>
      <c r="AY35" s="177">
        <f t="shared" si="31"/>
        <v>0.23234046621786797</v>
      </c>
      <c r="AZ35" s="177">
        <f t="shared" si="58"/>
        <v>4.6827830627651901</v>
      </c>
      <c r="BA35" s="469">
        <f t="shared" si="32"/>
        <v>6.273549245269658</v>
      </c>
      <c r="BB35" s="469">
        <f t="shared" si="33"/>
        <v>0.29592599999999997</v>
      </c>
      <c r="BC35" s="5">
        <f t="shared" si="34"/>
        <v>5.0632518305779972E-2</v>
      </c>
      <c r="BD35" s="469">
        <f t="shared" si="35"/>
        <v>8.2012029289247952</v>
      </c>
      <c r="BE35" s="5"/>
      <c r="BF35" s="177">
        <f t="shared" si="59"/>
        <v>0.10158070601692643</v>
      </c>
      <c r="BG35" s="177">
        <f t="shared" si="36"/>
        <v>0.29088733962143093</v>
      </c>
      <c r="BH35" s="177"/>
      <c r="BI35" s="538">
        <f t="shared" si="37"/>
        <v>3.6115239422140309E-3</v>
      </c>
      <c r="BJ35" s="538">
        <f t="shared" si="38"/>
        <v>4.1094893610698964E-2</v>
      </c>
      <c r="BK35" s="538">
        <f t="shared" si="39"/>
        <v>4.3749999999999995E-3</v>
      </c>
      <c r="BL35" s="538">
        <f t="shared" si="40"/>
        <v>4.6565908480000008E-2</v>
      </c>
      <c r="BM35">
        <f t="shared" si="41"/>
        <v>9.2800000000000001E-3</v>
      </c>
      <c r="BN35">
        <f t="shared" si="42"/>
        <v>2.3625000000000002E-5</v>
      </c>
      <c r="BO35" s="538">
        <f t="shared" si="43"/>
        <v>0.10550881004613037</v>
      </c>
      <c r="BP35" s="469">
        <f t="shared" si="60"/>
        <v>105.50881004613038</v>
      </c>
      <c r="BQ35" s="538">
        <f t="shared" si="44"/>
        <v>5.5243099742476882E-2</v>
      </c>
      <c r="BR35" s="538"/>
      <c r="BT35" s="469">
        <f t="shared" si="61"/>
        <v>55.243099742476879</v>
      </c>
      <c r="BU35" s="538">
        <f t="shared" si="45"/>
        <v>1.0318639834897233E-3</v>
      </c>
      <c r="BV35" s="538">
        <f t="shared" si="46"/>
        <v>2.5384633305610112E-3</v>
      </c>
      <c r="BW35" s="538">
        <f t="shared" si="47"/>
        <v>0</v>
      </c>
      <c r="BX35" s="538">
        <f t="shared" si="48"/>
        <v>3.9999090705054741E-3</v>
      </c>
      <c r="BY35" s="538">
        <f t="shared" si="49"/>
        <v>3.6266666666666669E-3</v>
      </c>
      <c r="BZ35" s="469">
        <f t="shared" si="62"/>
        <v>7.626575737172141</v>
      </c>
      <c r="CA35" s="177">
        <f t="shared" si="63"/>
        <v>0.16837848552577941</v>
      </c>
      <c r="CB35" s="5">
        <f t="shared" si="64"/>
        <v>0.96</v>
      </c>
      <c r="CC35" s="177">
        <f t="shared" si="65"/>
        <v>0.85077836232643</v>
      </c>
      <c r="CD35" s="5">
        <f t="shared" si="66"/>
        <v>85.077836232642994</v>
      </c>
      <c r="CG35" s="571">
        <f t="shared" si="50"/>
        <v>-50</v>
      </c>
      <c r="CH35">
        <f t="shared" si="51"/>
        <v>-50</v>
      </c>
    </row>
    <row r="36" spans="5:86" x14ac:dyDescent="0.25">
      <c r="E36" s="174">
        <v>31</v>
      </c>
      <c r="F36" s="221">
        <f t="shared" si="52"/>
        <v>6.2E-2</v>
      </c>
      <c r="G36" s="221"/>
      <c r="H36" s="221">
        <f t="shared" si="0"/>
        <v>0.99199999999999999</v>
      </c>
      <c r="I36" s="551">
        <f t="shared" si="1"/>
        <v>32</v>
      </c>
      <c r="J36" s="176">
        <f t="shared" si="2"/>
        <v>19.584</v>
      </c>
      <c r="K36" s="451">
        <f t="shared" si="3"/>
        <v>51.584000000000003</v>
      </c>
      <c r="L36" s="451"/>
      <c r="M36" s="221">
        <f t="shared" si="4"/>
        <v>0.37965260545905705</v>
      </c>
      <c r="N36" s="176">
        <f t="shared" si="5"/>
        <v>8.200496277915633</v>
      </c>
      <c r="O36" s="176">
        <f t="shared" si="53"/>
        <v>0.99199999999999999</v>
      </c>
      <c r="P36" s="221">
        <f t="shared" si="6"/>
        <v>0.51253101736972706</v>
      </c>
      <c r="Q36" s="221">
        <f t="shared" si="7"/>
        <v>16</v>
      </c>
      <c r="R36" s="221">
        <f t="shared" si="8"/>
        <v>0.56947890818858549</v>
      </c>
      <c r="S36" s="176">
        <f t="shared" si="9"/>
        <v>321.74692563579788</v>
      </c>
      <c r="T36" s="176">
        <f t="shared" si="10"/>
        <v>16</v>
      </c>
      <c r="U36" s="221">
        <f t="shared" si="11"/>
        <v>0.18145243282498186</v>
      </c>
      <c r="V36" s="221">
        <f t="shared" si="12"/>
        <v>0.17011165577342049</v>
      </c>
      <c r="W36" s="221">
        <f t="shared" si="13"/>
        <v>0.27796022185199426</v>
      </c>
      <c r="X36" s="201">
        <f t="shared" si="14"/>
        <v>350</v>
      </c>
      <c r="Y36" s="451">
        <f t="shared" si="54"/>
        <v>350</v>
      </c>
      <c r="AA36" s="221">
        <f t="shared" si="15"/>
        <v>1.1570365118752215</v>
      </c>
      <c r="AB36" s="177">
        <f t="shared" si="16"/>
        <v>1.7724211272598367</v>
      </c>
      <c r="AC36" s="177">
        <f t="shared" si="17"/>
        <v>0.4306587513183206</v>
      </c>
      <c r="AD36" s="177"/>
      <c r="AE36" s="177">
        <f t="shared" si="18"/>
        <v>0.4595588235294118</v>
      </c>
      <c r="AF36" s="555">
        <f t="shared" si="19"/>
        <v>749.51111111111118</v>
      </c>
      <c r="AG36" s="538">
        <f t="shared" si="20"/>
        <v>2.8952205882352939E-2</v>
      </c>
      <c r="AI36" s="177">
        <f t="shared" si="21"/>
        <v>0.46275915090469222</v>
      </c>
      <c r="AJ36" s="177">
        <f t="shared" si="22"/>
        <v>0.46275915090469222</v>
      </c>
      <c r="AK36" s="177">
        <f t="shared" si="23"/>
        <v>1.308506100603128</v>
      </c>
      <c r="AM36" s="555">
        <f t="shared" si="24"/>
        <v>62</v>
      </c>
      <c r="AN36" s="469">
        <f t="shared" si="25"/>
        <v>350</v>
      </c>
      <c r="AP36">
        <f t="shared" si="26"/>
        <v>62</v>
      </c>
      <c r="AQ36" s="469">
        <f t="shared" si="27"/>
        <v>350</v>
      </c>
      <c r="AR36" s="469"/>
      <c r="AS36" s="5">
        <f t="shared" si="55"/>
        <v>2.8571428571428572</v>
      </c>
      <c r="AT36" s="5">
        <f t="shared" si="28"/>
        <v>0.433836703973149</v>
      </c>
      <c r="AU36" s="5">
        <f t="shared" si="56"/>
        <v>2.4233061531697082</v>
      </c>
      <c r="AV36" s="5">
        <f t="shared" si="29"/>
        <v>0.70888350322409965</v>
      </c>
      <c r="AW36" s="177">
        <f t="shared" si="57"/>
        <v>0.15184284639060214</v>
      </c>
      <c r="AX36" s="177">
        <f t="shared" si="30"/>
        <v>1.1242666666666663</v>
      </c>
      <c r="AY36" s="177">
        <f t="shared" si="31"/>
        <v>0.23549549054281532</v>
      </c>
      <c r="AZ36" s="177">
        <f t="shared" si="58"/>
        <v>4.7740475372808211</v>
      </c>
      <c r="BA36" s="469">
        <f t="shared" si="32"/>
        <v>6.273549245269658</v>
      </c>
      <c r="BB36" s="469">
        <f t="shared" si="33"/>
        <v>0.30978320666666659</v>
      </c>
      <c r="BC36" s="5">
        <f t="shared" si="34"/>
        <v>5.2168396352958987E-2</v>
      </c>
      <c r="BD36" s="469">
        <f t="shared" si="35"/>
        <v>8.4502767498067719</v>
      </c>
      <c r="BE36" s="5"/>
      <c r="BF36" s="177">
        <f t="shared" si="59"/>
        <v>0.10410978660940846</v>
      </c>
      <c r="BG36" s="177">
        <f t="shared" si="36"/>
        <v>0.29526624357752396</v>
      </c>
      <c r="BH36" s="177"/>
      <c r="BI36" s="538">
        <f t="shared" si="37"/>
        <v>3.7935966837497979E-3</v>
      </c>
      <c r="BJ36" s="538">
        <f t="shared" si="38"/>
        <v>4.1774194070468375E-2</v>
      </c>
      <c r="BK36" s="538">
        <f t="shared" si="39"/>
        <v>4.3749999999999995E-3</v>
      </c>
      <c r="BL36" s="538">
        <f t="shared" si="40"/>
        <v>4.6565908480000008E-2</v>
      </c>
      <c r="BM36">
        <f t="shared" si="41"/>
        <v>9.2800000000000001E-3</v>
      </c>
      <c r="BN36">
        <f t="shared" si="42"/>
        <v>2.3625000000000002E-5</v>
      </c>
      <c r="BO36" s="538">
        <f t="shared" si="43"/>
        <v>0.10639893037565379</v>
      </c>
      <c r="BP36" s="469">
        <f t="shared" si="60"/>
        <v>106.39893037565379</v>
      </c>
      <c r="BQ36" s="538">
        <f t="shared" si="44"/>
        <v>5.6987583055817817E-2</v>
      </c>
      <c r="BR36" s="538"/>
      <c r="BT36" s="469">
        <f t="shared" si="61"/>
        <v>56.987583055817815</v>
      </c>
      <c r="BU36" s="538">
        <f t="shared" si="45"/>
        <v>1.0838847667856567E-3</v>
      </c>
      <c r="BV36" s="538">
        <f t="shared" si="46"/>
        <v>2.6154646378914511E-3</v>
      </c>
      <c r="BW36" s="538">
        <f t="shared" si="47"/>
        <v>0</v>
      </c>
      <c r="BX36" s="538">
        <f t="shared" si="48"/>
        <v>4.1444978889022006E-3</v>
      </c>
      <c r="BY36" s="538">
        <f t="shared" si="49"/>
        <v>3.7475555555555552E-3</v>
      </c>
      <c r="BZ36" s="469">
        <f t="shared" si="62"/>
        <v>7.8920534444577548</v>
      </c>
      <c r="CA36" s="177">
        <f t="shared" si="63"/>
        <v>0.17127856687592935</v>
      </c>
      <c r="CB36" s="5">
        <f t="shared" si="64"/>
        <v>0.99199999999999999</v>
      </c>
      <c r="CC36" s="177">
        <f t="shared" si="65"/>
        <v>0.85276220868066832</v>
      </c>
      <c r="CD36" s="5">
        <f t="shared" si="66"/>
        <v>85.276220868066829</v>
      </c>
      <c r="CG36" s="571">
        <f t="shared" si="50"/>
        <v>-50</v>
      </c>
      <c r="CH36">
        <f t="shared" si="51"/>
        <v>-50</v>
      </c>
    </row>
    <row r="37" spans="5:86" x14ac:dyDescent="0.25">
      <c r="E37" s="174">
        <v>32</v>
      </c>
      <c r="F37" s="221">
        <f t="shared" si="52"/>
        <v>6.4000000000000001E-2</v>
      </c>
      <c r="G37" s="221"/>
      <c r="H37" s="221">
        <f t="shared" ref="H37:H68" si="67">F37*Vout</f>
        <v>1.024</v>
      </c>
      <c r="I37" s="551">
        <f t="shared" ref="I37:I68" si="68">Vin</f>
        <v>32</v>
      </c>
      <c r="J37" s="176">
        <f t="shared" ref="J37:J68" si="69">(T37+Vfwd1)*Nps</f>
        <v>19.584</v>
      </c>
      <c r="K37" s="451">
        <f t="shared" ref="K37:K68" si="70">(Vout+Vfwd1)*Nps+I37</f>
        <v>51.584000000000003</v>
      </c>
      <c r="L37" s="451"/>
      <c r="M37" s="221">
        <f t="shared" ref="M37:M68" si="71">(Vout+Vfwd1)*Nps/((Vout+Vfwd1)*Nps+I37)</f>
        <v>0.37965260545905705</v>
      </c>
      <c r="N37" s="176">
        <f t="shared" ref="N37:N68" si="72">M37*I37*Isw_max*0.5*Efficiency</f>
        <v>8.200496277915633</v>
      </c>
      <c r="O37" s="176">
        <f t="shared" si="53"/>
        <v>1.024</v>
      </c>
      <c r="P37" s="221">
        <f t="shared" ref="P37:P68" si="73">N37/Vout</f>
        <v>0.51253101736972706</v>
      </c>
      <c r="Q37" s="221">
        <f t="shared" ref="Q37:Q68" si="74">MIN(Vout,N37/F37)</f>
        <v>16</v>
      </c>
      <c r="R37" s="221">
        <f t="shared" ref="R37:R68" si="75">Isw_max/2*I37*Nps*(Q37+Vfwd1)/Q37/(I37+Nps*(Q37+Vfwd1))</f>
        <v>0.56947890818858549</v>
      </c>
      <c r="S37" s="176">
        <f t="shared" ref="S37:S68" si="76">(SQRT(Isw_max^2*Nps^2*I37^2+4*Isw_max*F37/Efficiency*(Nps^2*Vfwd1*I37-Nps*I37^2)+4*(F37/Efficiency)^2*Nps^2*Vfwd1^2+8*(F37/Efficiency)^2*Nps*Vfwd1*I37+4*(F37/Efficiency)^2*I37^2)-2*F37/Efficiency*I37-2*F37/Efficiency*Nps*Vfwd1+Isw_max*Nps*I37)/(4*F37/Efficiency*Nps)</f>
        <v>310.86075576603588</v>
      </c>
      <c r="T37" s="176">
        <f t="shared" ref="T37:T68" si="77">MIN(Vout, S37)</f>
        <v>16</v>
      </c>
      <c r="U37" s="221">
        <f t="shared" ref="U37:U68" si="78">MIN(2*Vout*F37/(Efficiency*I37*M37), Isw_max)</f>
        <v>0.1873057371096587</v>
      </c>
      <c r="V37" s="221">
        <f t="shared" ref="V37:V68" si="79">L*U37/I37*1000000</f>
        <v>0.17559912854030502</v>
      </c>
      <c r="W37" s="221">
        <f t="shared" ref="W37:W68" si="80">L*U37/J37*1000000</f>
        <v>0.28692668062141347</v>
      </c>
      <c r="X37" s="201">
        <f t="shared" ref="X37:X68" si="81">IF(1/((350000*L)*(1/I37+1/J37))&gt;Isw_min, 350, 0.001/((Isw_min*L)*(1/I37+1/J37)))</f>
        <v>350</v>
      </c>
      <c r="Y37" s="451">
        <f t="shared" si="54"/>
        <v>350</v>
      </c>
      <c r="AA37" s="221">
        <f t="shared" ref="AA37:AA68" si="82">1/((X37*1000*L)*(1/I37+1/J37))</f>
        <v>1.1570365118752215</v>
      </c>
      <c r="AB37" s="177">
        <f t="shared" ref="AB37:AB68" si="83">L*AA37/J37*1000000</f>
        <v>1.7724211272598367</v>
      </c>
      <c r="AC37" s="177">
        <f t="shared" ref="AC37:AC68" si="84">0.5*AB37*AA37*Nps*X37/1000</f>
        <v>0.4306587513183206</v>
      </c>
      <c r="AD37" s="177"/>
      <c r="AE37" s="177">
        <f t="shared" ref="AE37:AE68" si="85">L*Isw_min/J37*1000000</f>
        <v>0.4595588235294118</v>
      </c>
      <c r="AF37" s="555">
        <f t="shared" ref="AF37:AF68" si="86">MAX(12, F37/(0.5*AE37/1000000*Isw_min*Nps)/1000)</f>
        <v>773.68888888888898</v>
      </c>
      <c r="AG37" s="538">
        <f t="shared" ref="AG37:AG68" si="87">0.5*AE37/1000000*Isw_min*Nps*X37*1000</f>
        <v>2.8952205882352939E-2</v>
      </c>
      <c r="AI37" s="177">
        <f t="shared" ref="AI37:AI68" si="88">SQRT(F37/Efficiency/(0.5*L/J37*Fsw_DCM*Nps))</f>
        <v>0.47016376748316985</v>
      </c>
      <c r="AJ37" s="177">
        <f t="shared" ref="AJ37:AJ71" si="89">MAX(IF(F37&gt;AC37,U37,AI37),Isw_min)</f>
        <v>0.47016376748316985</v>
      </c>
      <c r="AK37" s="177">
        <f t="shared" ref="AK37:AK68" si="90">IF(F37&gt;AG37, (AJ37-Isw_min)/1.2*0.8+1.2, AF37*0.2/350+1)</f>
        <v>1.3134425116554465</v>
      </c>
      <c r="AM37" s="555">
        <f t="shared" ref="AM37:AM68" si="91">F37*1000</f>
        <v>64</v>
      </c>
      <c r="AN37" s="469">
        <f t="shared" ref="AN37:AN68" si="92">IF(F37&gt;AG37, Y37, AF37)</f>
        <v>350</v>
      </c>
      <c r="AP37">
        <f t="shared" ref="AP37:AP68" si="93">IF(H37&gt;N37, "",AM37)</f>
        <v>64</v>
      </c>
      <c r="AQ37" s="469">
        <f t="shared" ref="AQ37:AQ68" si="94">IF(H37&gt;N37, "",AN37)</f>
        <v>350</v>
      </c>
      <c r="AR37" s="469"/>
      <c r="AS37" s="5">
        <f t="shared" si="55"/>
        <v>2.8571428571428572</v>
      </c>
      <c r="AT37" s="5">
        <f t="shared" ref="AT37:AT68" si="95">L*AJ37/I37*1000000</f>
        <v>0.44077853201547174</v>
      </c>
      <c r="AU37" s="5">
        <f t="shared" si="56"/>
        <v>2.4163643251273856</v>
      </c>
      <c r="AV37" s="5">
        <f t="shared" ref="AV37:AV68" si="96">L*AJ37/J37*1000000</f>
        <v>0.72022635950240477</v>
      </c>
      <c r="AW37" s="177">
        <f t="shared" si="57"/>
        <v>0.15427248620541512</v>
      </c>
      <c r="AX37" s="177">
        <f t="shared" ref="AX37:AX68" si="97">0.5*L*AJ37^2*AN37*1000</f>
        <v>1.160533333333333</v>
      </c>
      <c r="AY37" s="177">
        <f t="shared" ref="AY37:AY68" si="98">AJ37*Nps/2*(1-AW37)</f>
        <v>0.23857826048990191</v>
      </c>
      <c r="AZ37" s="177">
        <f t="shared" si="58"/>
        <v>4.8643716780827724</v>
      </c>
      <c r="BA37" s="469">
        <f t="shared" ref="BA37:BA68" si="99">L*Isw_max^2/(2*Vout_ripple*Vout)*1000000000*((1+M37)/2)^2</f>
        <v>6.273549245269658</v>
      </c>
      <c r="BB37" s="469">
        <f t="shared" ref="BB37:BB68" si="100">L*F37^2/(2*Cout*Vout*Nps^2)*1000000000*((1+M37)/(1-M37))^2+F37*RCoutEsr</f>
        <v>0.32389802666666662</v>
      </c>
      <c r="BC37" s="5">
        <f t="shared" ref="BC37:BC68" si="101">H37/Efficiency/I37*AU37/Vinripple1</f>
        <v>5.3696985002830787E-2</v>
      </c>
      <c r="BD37" s="469">
        <f t="shared" ref="BD37:BD68" si="102">((CB37/I37/Efficiency)*AU37/Cin+(CB37/I37/Efficiency)*RCinEsr)*1000</f>
        <v>8.6981842671195935</v>
      </c>
      <c r="BE37" s="5"/>
      <c r="BF37" s="177">
        <f t="shared" si="59"/>
        <v>0.10661854946195273</v>
      </c>
      <c r="BG37" s="177">
        <f t="shared" ref="BG37:BG68" si="103">AJ37*Nps*SQRT((1-AW37)/3)</f>
        <v>0.29956081691905351</v>
      </c>
      <c r="BH37" s="177"/>
      <c r="BI37" s="538">
        <f t="shared" ref="BI37:BI68" si="104">Rdson*BF37^2</f>
        <v>3.978630281279801E-3</v>
      </c>
      <c r="BJ37" s="538">
        <f t="shared" ref="BJ37:BJ68" si="105">0.5*K37*AJ37*AN37*1000*Trise</f>
        <v>4.2442623618240714E-2</v>
      </c>
      <c r="BK37" s="538">
        <f t="shared" ref="BK37:BK68" si="106">Qg*Vdd*AN37*1000</f>
        <v>4.3749999999999995E-3</v>
      </c>
      <c r="BL37" s="538">
        <f t="shared" ref="BL37:BL68" si="107">0.5*(Coss+Csw)*K37^2*AN37*1000</f>
        <v>4.6565908480000008E-2</v>
      </c>
      <c r="BM37">
        <f t="shared" ref="BM37:BM68" si="108">I37*IQ</f>
        <v>9.2800000000000001E-3</v>
      </c>
      <c r="BN37">
        <f t="shared" ref="BN37:BN68" si="109">(I37-Vdd)*Qg*AN37</f>
        <v>2.3625000000000002E-5</v>
      </c>
      <c r="BO37" s="538">
        <f t="shared" ref="BO37:BO68" si="110">(BJ37+BK37+BL37+BM37+BN37+BI37*(1+RdsonTC*(Ta-25)))/(1-BI37*RdsonTC*ThetaJA)</f>
        <v>0.10728165334688283</v>
      </c>
      <c r="BP37" s="469">
        <f t="shared" si="60"/>
        <v>107.28165334688283</v>
      </c>
      <c r="BQ37" s="538">
        <f t="shared" ref="BQ37:BQ68" si="111">(Vfwd2*F37+BG37^2*Rdiode)*(1+Diode_TC/1000*(Ta-25))</f>
        <v>5.8727412918686495E-2</v>
      </c>
      <c r="BR37" s="538"/>
      <c r="BT37" s="469">
        <f t="shared" si="61"/>
        <v>58.727412918686497</v>
      </c>
      <c r="BU37" s="538">
        <f t="shared" ref="BU37:BU68" si="112">Rdcr_pri*BF37^2</f>
        <v>1.1367515089370861E-3</v>
      </c>
      <c r="BV37" s="538">
        <f t="shared" ref="BV37:BV68" si="113">Rdcr_sec*BG37^2</f>
        <v>2.6921004909963206E-3</v>
      </c>
      <c r="BW37" s="538">
        <f t="shared" ref="BW37:BW68" si="114">AJ37^2.5*AN37^2.5*k_core</f>
        <v>0</v>
      </c>
      <c r="BX37" s="538">
        <f t="shared" ref="BX37:BX68" si="115">(BW37+(BU37+BV37)*(1+Ltc*(Ta-25)))/(1-(BU37+BV37)*Ltc*ThetaCa)</f>
        <v>4.2896281880427569E-3</v>
      </c>
      <c r="BY37" s="538">
        <f t="shared" ref="BY37:BY68" si="116">0.5*Lleak*0.000000001*AJ37^2*AN37*1000</f>
        <v>3.8684444444444439E-3</v>
      </c>
      <c r="BZ37" s="469">
        <f t="shared" si="62"/>
        <v>8.158072632487201</v>
      </c>
      <c r="CA37" s="177">
        <f t="shared" si="63"/>
        <v>0.17416713889805654</v>
      </c>
      <c r="CB37" s="5">
        <f t="shared" si="64"/>
        <v>1.024</v>
      </c>
      <c r="CC37" s="177">
        <f t="shared" si="65"/>
        <v>0.8546386950169268</v>
      </c>
      <c r="CD37" s="5">
        <f t="shared" si="66"/>
        <v>85.463869501692685</v>
      </c>
      <c r="CG37" s="571">
        <f t="shared" ref="CG37:CG68" si="117">IF(ABS(F37-Ioutmax_Vinnom)&lt;Iout/200, AN37, -50)</f>
        <v>-50</v>
      </c>
      <c r="CH37">
        <f t="shared" ref="CH37:CH68" si="118">IF(ABS(F37-Ioutmax_Vinnom)&lt;Iout/200, N37*CC37, -50)</f>
        <v>-50</v>
      </c>
    </row>
    <row r="38" spans="5:86" x14ac:dyDescent="0.25">
      <c r="E38" s="174">
        <v>33</v>
      </c>
      <c r="F38" s="221">
        <f t="shared" ref="F38:F69" si="119">IF(PLOT_TYPE=1, E38/100*Iout_max, min_I*EXP(N38*rr/100))</f>
        <v>6.6000000000000003E-2</v>
      </c>
      <c r="G38" s="221"/>
      <c r="H38" s="221">
        <f t="shared" si="67"/>
        <v>1.056</v>
      </c>
      <c r="I38" s="551">
        <f t="shared" si="68"/>
        <v>32</v>
      </c>
      <c r="J38" s="176">
        <f t="shared" si="69"/>
        <v>19.584</v>
      </c>
      <c r="K38" s="451">
        <f t="shared" si="70"/>
        <v>51.584000000000003</v>
      </c>
      <c r="L38" s="451"/>
      <c r="M38" s="221">
        <f t="shared" si="71"/>
        <v>0.37965260545905705</v>
      </c>
      <c r="N38" s="176">
        <f t="shared" si="72"/>
        <v>8.200496277915633</v>
      </c>
      <c r="O38" s="176">
        <f t="shared" si="53"/>
        <v>1.056</v>
      </c>
      <c r="P38" s="221">
        <f t="shared" si="73"/>
        <v>0.51253101736972706</v>
      </c>
      <c r="Q38" s="221">
        <f t="shared" si="74"/>
        <v>16</v>
      </c>
      <c r="R38" s="221">
        <f t="shared" si="75"/>
        <v>0.56947890818858549</v>
      </c>
      <c r="S38" s="176">
        <f t="shared" si="76"/>
        <v>300.63441484481712</v>
      </c>
      <c r="T38" s="176">
        <f t="shared" si="77"/>
        <v>16</v>
      </c>
      <c r="U38" s="221">
        <f t="shared" si="78"/>
        <v>0.19315904139433554</v>
      </c>
      <c r="V38" s="221">
        <f t="shared" si="79"/>
        <v>0.18108660130718957</v>
      </c>
      <c r="W38" s="221">
        <f t="shared" si="80"/>
        <v>0.29589313939083262</v>
      </c>
      <c r="X38" s="201">
        <f t="shared" si="81"/>
        <v>350</v>
      </c>
      <c r="Y38" s="451">
        <f t="shared" si="54"/>
        <v>350</v>
      </c>
      <c r="AA38" s="221">
        <f t="shared" si="82"/>
        <v>1.1570365118752215</v>
      </c>
      <c r="AB38" s="177">
        <f t="shared" si="83"/>
        <v>1.7724211272598367</v>
      </c>
      <c r="AC38" s="177">
        <f t="shared" si="84"/>
        <v>0.4306587513183206</v>
      </c>
      <c r="AD38" s="177"/>
      <c r="AE38" s="177">
        <f t="shared" si="85"/>
        <v>0.4595588235294118</v>
      </c>
      <c r="AF38" s="555">
        <f t="shared" si="86"/>
        <v>797.86666666666679</v>
      </c>
      <c r="AG38" s="538">
        <f t="shared" si="87"/>
        <v>2.8952205882352939E-2</v>
      </c>
      <c r="AI38" s="177">
        <f t="shared" si="88"/>
        <v>0.47745356293770053</v>
      </c>
      <c r="AJ38" s="177">
        <f t="shared" si="89"/>
        <v>0.47745356293770053</v>
      </c>
      <c r="AK38" s="177">
        <f t="shared" si="90"/>
        <v>1.3183023752918004</v>
      </c>
      <c r="AM38" s="555">
        <f t="shared" si="91"/>
        <v>66</v>
      </c>
      <c r="AN38" s="469">
        <f t="shared" si="92"/>
        <v>350</v>
      </c>
      <c r="AP38">
        <f t="shared" si="93"/>
        <v>66</v>
      </c>
      <c r="AQ38" s="469">
        <f t="shared" si="94"/>
        <v>350</v>
      </c>
      <c r="AR38" s="469"/>
      <c r="AS38" s="5">
        <f t="shared" si="55"/>
        <v>2.8571428571428572</v>
      </c>
      <c r="AT38" s="5">
        <f t="shared" si="95"/>
        <v>0.44761271525409424</v>
      </c>
      <c r="AU38" s="5">
        <f t="shared" si="56"/>
        <v>2.4095301418887631</v>
      </c>
      <c r="AV38" s="5">
        <f t="shared" si="96"/>
        <v>0.73139332557858538</v>
      </c>
      <c r="AW38" s="177">
        <f t="shared" si="57"/>
        <v>0.15666445033893298</v>
      </c>
      <c r="AX38" s="177">
        <f t="shared" si="97"/>
        <v>1.1968000000000001</v>
      </c>
      <c r="AY38" s="177">
        <f t="shared" si="98"/>
        <v>0.24159213776262034</v>
      </c>
      <c r="AZ38" s="177">
        <f t="shared" si="58"/>
        <v>4.9538035926315294</v>
      </c>
      <c r="BA38" s="469">
        <f t="shared" si="99"/>
        <v>6.273549245269658</v>
      </c>
      <c r="BB38" s="469">
        <f t="shared" si="100"/>
        <v>0.33827046</v>
      </c>
      <c r="BC38" s="5">
        <f t="shared" si="101"/>
        <v>5.5218399084950819E-2</v>
      </c>
      <c r="BD38" s="469">
        <f t="shared" si="102"/>
        <v>8.9449438535921306</v>
      </c>
      <c r="BE38" s="5"/>
      <c r="BF38" s="177">
        <f t="shared" si="59"/>
        <v>0.10910778540467832</v>
      </c>
      <c r="BG38" s="177">
        <f t="shared" si="103"/>
        <v>0.30377495216360267</v>
      </c>
      <c r="BH38" s="177"/>
      <c r="BI38" s="538">
        <f t="shared" si="104"/>
        <v>4.166578092569667E-3</v>
      </c>
      <c r="BJ38" s="538">
        <f t="shared" si="105"/>
        <v>4.3100688033512108E-2</v>
      </c>
      <c r="BK38" s="538">
        <f t="shared" si="106"/>
        <v>4.3749999999999995E-3</v>
      </c>
      <c r="BL38" s="538">
        <f t="shared" si="107"/>
        <v>4.6565908480000008E-2</v>
      </c>
      <c r="BM38">
        <f t="shared" si="108"/>
        <v>9.2800000000000001E-3</v>
      </c>
      <c r="BN38">
        <f t="shared" si="109"/>
        <v>2.3625000000000002E-5</v>
      </c>
      <c r="BO38" s="538">
        <f t="shared" si="110"/>
        <v>0.10815743190685688</v>
      </c>
      <c r="BP38" s="469">
        <f t="shared" si="60"/>
        <v>108.15743190685689</v>
      </c>
      <c r="BQ38" s="538">
        <f t="shared" si="111"/>
        <v>6.0462662636683658E-2</v>
      </c>
      <c r="BR38" s="538"/>
      <c r="BT38" s="469">
        <f t="shared" si="61"/>
        <v>60.46266263668366</v>
      </c>
      <c r="BU38" s="538">
        <f t="shared" si="112"/>
        <v>1.1904508835913336E-3</v>
      </c>
      <c r="BV38" s="538">
        <f t="shared" si="113"/>
        <v>2.7683766468599726E-3</v>
      </c>
      <c r="BW38" s="538">
        <f t="shared" si="114"/>
        <v>0</v>
      </c>
      <c r="BX38" s="538">
        <f t="shared" si="115"/>
        <v>4.4352915184389646E-3</v>
      </c>
      <c r="BY38" s="538">
        <f t="shared" si="116"/>
        <v>3.9893333333333334E-3</v>
      </c>
      <c r="BZ38" s="469">
        <f t="shared" si="62"/>
        <v>8.4246248517722968</v>
      </c>
      <c r="CA38" s="177">
        <f t="shared" si="63"/>
        <v>0.17704471939531286</v>
      </c>
      <c r="CB38" s="5">
        <f t="shared" si="64"/>
        <v>1.056</v>
      </c>
      <c r="CC38" s="177">
        <f t="shared" si="65"/>
        <v>0.85641662738547242</v>
      </c>
      <c r="CD38" s="5">
        <f t="shared" si="66"/>
        <v>85.64166273854724</v>
      </c>
      <c r="CG38" s="571">
        <f t="shared" si="117"/>
        <v>-50</v>
      </c>
      <c r="CH38">
        <f t="shared" si="118"/>
        <v>-50</v>
      </c>
    </row>
    <row r="39" spans="5:86" x14ac:dyDescent="0.25">
      <c r="E39" s="174">
        <v>34</v>
      </c>
      <c r="F39" s="221">
        <f t="shared" si="119"/>
        <v>6.8000000000000005E-2</v>
      </c>
      <c r="G39" s="221"/>
      <c r="H39" s="221">
        <f t="shared" si="67"/>
        <v>1.0880000000000001</v>
      </c>
      <c r="I39" s="551">
        <f t="shared" si="68"/>
        <v>32</v>
      </c>
      <c r="J39" s="176">
        <f t="shared" si="69"/>
        <v>19.584</v>
      </c>
      <c r="K39" s="451">
        <f t="shared" si="70"/>
        <v>51.584000000000003</v>
      </c>
      <c r="L39" s="451"/>
      <c r="M39" s="221">
        <f t="shared" si="71"/>
        <v>0.37965260545905705</v>
      </c>
      <c r="N39" s="176">
        <f t="shared" si="72"/>
        <v>8.200496277915633</v>
      </c>
      <c r="O39" s="176">
        <f t="shared" si="53"/>
        <v>1.0880000000000001</v>
      </c>
      <c r="P39" s="221">
        <f t="shared" si="73"/>
        <v>0.51253101736972706</v>
      </c>
      <c r="Q39" s="221">
        <f t="shared" si="74"/>
        <v>16</v>
      </c>
      <c r="R39" s="221">
        <f t="shared" si="75"/>
        <v>0.56947890818858549</v>
      </c>
      <c r="S39" s="176">
        <f t="shared" si="76"/>
        <v>291.00968314170615</v>
      </c>
      <c r="T39" s="176">
        <f t="shared" si="77"/>
        <v>16</v>
      </c>
      <c r="U39" s="221">
        <f t="shared" si="78"/>
        <v>0.19901234567901238</v>
      </c>
      <c r="V39" s="221">
        <f t="shared" si="79"/>
        <v>0.18657407407407411</v>
      </c>
      <c r="W39" s="221">
        <f t="shared" si="80"/>
        <v>0.30485959816025182</v>
      </c>
      <c r="X39" s="201">
        <f t="shared" si="81"/>
        <v>350</v>
      </c>
      <c r="Y39" s="451">
        <f t="shared" si="54"/>
        <v>350</v>
      </c>
      <c r="AA39" s="221">
        <f t="shared" si="82"/>
        <v>1.1570365118752215</v>
      </c>
      <c r="AB39" s="177">
        <f t="shared" si="83"/>
        <v>1.7724211272598367</v>
      </c>
      <c r="AC39" s="177">
        <f t="shared" si="84"/>
        <v>0.4306587513183206</v>
      </c>
      <c r="AD39" s="177"/>
      <c r="AE39" s="177">
        <f t="shared" si="85"/>
        <v>0.4595588235294118</v>
      </c>
      <c r="AF39" s="555">
        <f t="shared" si="86"/>
        <v>822.04444444444459</v>
      </c>
      <c r="AG39" s="538">
        <f t="shared" si="87"/>
        <v>2.8952205882352939E-2</v>
      </c>
      <c r="AI39" s="177">
        <f t="shared" si="88"/>
        <v>0.48463371866786287</v>
      </c>
      <c r="AJ39" s="177">
        <f t="shared" si="89"/>
        <v>0.48463371866786287</v>
      </c>
      <c r="AK39" s="177">
        <f t="shared" si="90"/>
        <v>1.3230891457785752</v>
      </c>
      <c r="AM39" s="555">
        <f t="shared" si="91"/>
        <v>68</v>
      </c>
      <c r="AN39" s="469">
        <f t="shared" si="92"/>
        <v>350</v>
      </c>
      <c r="AP39">
        <f t="shared" si="93"/>
        <v>68</v>
      </c>
      <c r="AQ39" s="469">
        <f t="shared" si="94"/>
        <v>350</v>
      </c>
      <c r="AR39" s="469"/>
      <c r="AS39" s="5">
        <f t="shared" si="55"/>
        <v>2.8571428571428572</v>
      </c>
      <c r="AT39" s="5">
        <f t="shared" si="95"/>
        <v>0.45434411125112145</v>
      </c>
      <c r="AU39" s="5">
        <f t="shared" si="56"/>
        <v>2.4027987458917357</v>
      </c>
      <c r="AV39" s="5">
        <f t="shared" si="96"/>
        <v>0.74239233864562337</v>
      </c>
      <c r="AW39" s="177">
        <f t="shared" si="57"/>
        <v>0.1590204389378925</v>
      </c>
      <c r="AX39" s="177">
        <f t="shared" si="97"/>
        <v>1.2330666666666665</v>
      </c>
      <c r="AY39" s="177">
        <f t="shared" si="98"/>
        <v>0.24454023120071772</v>
      </c>
      <c r="AZ39" s="177">
        <f t="shared" si="58"/>
        <v>5.0423877519546876</v>
      </c>
      <c r="BA39" s="469">
        <f t="shared" si="99"/>
        <v>6.273549245269658</v>
      </c>
      <c r="BB39" s="469">
        <f t="shared" si="100"/>
        <v>0.35290050666666667</v>
      </c>
      <c r="BC39" s="5">
        <f t="shared" si="101"/>
        <v>5.6732748166888204E-2</v>
      </c>
      <c r="BD39" s="469">
        <f t="shared" si="102"/>
        <v>9.1905730400354457</v>
      </c>
      <c r="BE39" s="5"/>
      <c r="BF39" s="177">
        <f t="shared" si="59"/>
        <v>0.11157823152688774</v>
      </c>
      <c r="BG39" s="177">
        <f t="shared" si="103"/>
        <v>0.30791224933178973</v>
      </c>
      <c r="BH39" s="177"/>
      <c r="BI39" s="538">
        <f t="shared" si="104"/>
        <v>4.3573956127337179E-3</v>
      </c>
      <c r="BJ39" s="538">
        <f t="shared" si="105"/>
        <v>4.3748855051585323E-2</v>
      </c>
      <c r="BK39" s="538">
        <f t="shared" si="106"/>
        <v>4.3749999999999995E-3</v>
      </c>
      <c r="BL39" s="538">
        <f t="shared" si="107"/>
        <v>4.6565908480000008E-2</v>
      </c>
      <c r="BM39">
        <f t="shared" si="108"/>
        <v>9.2800000000000001E-3</v>
      </c>
      <c r="BN39">
        <f t="shared" si="109"/>
        <v>2.3625000000000002E-5</v>
      </c>
      <c r="BO39" s="538">
        <f t="shared" si="110"/>
        <v>0.10902668340835368</v>
      </c>
      <c r="BP39" s="469">
        <f t="shared" si="60"/>
        <v>109.02668340835368</v>
      </c>
      <c r="BQ39" s="538">
        <f t="shared" si="111"/>
        <v>6.219340215623078E-2</v>
      </c>
      <c r="BR39" s="538"/>
      <c r="BT39" s="469">
        <f t="shared" si="61"/>
        <v>62.193402156230782</v>
      </c>
      <c r="BU39" s="538">
        <f t="shared" si="112"/>
        <v>1.2449701750667768E-3</v>
      </c>
      <c r="BV39" s="538">
        <f t="shared" si="113"/>
        <v>2.8442985986568674E-3</v>
      </c>
      <c r="BW39" s="538">
        <f t="shared" si="114"/>
        <v>0</v>
      </c>
      <c r="BX39" s="538">
        <f t="shared" si="115"/>
        <v>4.5814798187593063E-3</v>
      </c>
      <c r="BY39" s="538">
        <f t="shared" si="116"/>
        <v>4.1102222222222217E-3</v>
      </c>
      <c r="BZ39" s="469">
        <f t="shared" si="62"/>
        <v>8.6917020409815287</v>
      </c>
      <c r="CA39" s="177">
        <f t="shared" si="63"/>
        <v>0.17991178760556598</v>
      </c>
      <c r="CB39" s="5">
        <f t="shared" si="64"/>
        <v>1.0880000000000001</v>
      </c>
      <c r="CC39" s="177">
        <f t="shared" si="65"/>
        <v>0.85810386072257683</v>
      </c>
      <c r="CD39" s="5">
        <f t="shared" si="66"/>
        <v>85.810386072257685</v>
      </c>
      <c r="CG39" s="571">
        <f t="shared" si="117"/>
        <v>-50</v>
      </c>
      <c r="CH39">
        <f t="shared" si="118"/>
        <v>-50</v>
      </c>
    </row>
    <row r="40" spans="5:86" x14ac:dyDescent="0.25">
      <c r="E40" s="174">
        <v>35</v>
      </c>
      <c r="F40" s="221">
        <f t="shared" si="119"/>
        <v>6.9999999999999993E-2</v>
      </c>
      <c r="G40" s="221"/>
      <c r="H40" s="221">
        <f t="shared" si="67"/>
        <v>1.1199999999999999</v>
      </c>
      <c r="I40" s="551">
        <f t="shared" si="68"/>
        <v>32</v>
      </c>
      <c r="J40" s="176">
        <f t="shared" si="69"/>
        <v>19.584</v>
      </c>
      <c r="K40" s="451">
        <f t="shared" si="70"/>
        <v>51.584000000000003</v>
      </c>
      <c r="L40" s="451"/>
      <c r="M40" s="221">
        <f t="shared" si="71"/>
        <v>0.37965260545905705</v>
      </c>
      <c r="N40" s="176">
        <f t="shared" si="72"/>
        <v>8.200496277915633</v>
      </c>
      <c r="O40" s="176">
        <f t="shared" si="53"/>
        <v>1.1199999999999999</v>
      </c>
      <c r="P40" s="221">
        <f t="shared" si="73"/>
        <v>0.51253101736972706</v>
      </c>
      <c r="Q40" s="221">
        <f t="shared" si="74"/>
        <v>16</v>
      </c>
      <c r="R40" s="221">
        <f t="shared" si="75"/>
        <v>0.56947890818858549</v>
      </c>
      <c r="S40" s="176">
        <f t="shared" si="76"/>
        <v>281.93499461453206</v>
      </c>
      <c r="T40" s="176">
        <f t="shared" si="77"/>
        <v>16</v>
      </c>
      <c r="U40" s="221">
        <f t="shared" si="78"/>
        <v>0.20486564996368917</v>
      </c>
      <c r="V40" s="221">
        <f t="shared" si="79"/>
        <v>0.19206154684095858</v>
      </c>
      <c r="W40" s="221">
        <f t="shared" si="80"/>
        <v>0.31382605692967092</v>
      </c>
      <c r="X40" s="201">
        <f t="shared" si="81"/>
        <v>350</v>
      </c>
      <c r="Y40" s="451">
        <f t="shared" si="54"/>
        <v>350</v>
      </c>
      <c r="AA40" s="221">
        <f t="shared" si="82"/>
        <v>1.1570365118752215</v>
      </c>
      <c r="AB40" s="177">
        <f t="shared" si="83"/>
        <v>1.7724211272598367</v>
      </c>
      <c r="AC40" s="177">
        <f t="shared" si="84"/>
        <v>0.4306587513183206</v>
      </c>
      <c r="AD40" s="177"/>
      <c r="AE40" s="177">
        <f t="shared" si="85"/>
        <v>0.4595588235294118</v>
      </c>
      <c r="AF40" s="555">
        <f t="shared" si="86"/>
        <v>846.22222222222229</v>
      </c>
      <c r="AG40" s="538">
        <f t="shared" si="87"/>
        <v>2.8952205882352939E-2</v>
      </c>
      <c r="AI40" s="177">
        <f t="shared" si="88"/>
        <v>0.4917090377222873</v>
      </c>
      <c r="AJ40" s="177">
        <f t="shared" si="89"/>
        <v>0.4917090377222873</v>
      </c>
      <c r="AK40" s="177">
        <f t="shared" si="90"/>
        <v>1.3278060251481916</v>
      </c>
      <c r="AM40" s="555">
        <f t="shared" si="91"/>
        <v>69.999999999999986</v>
      </c>
      <c r="AN40" s="469">
        <f t="shared" si="92"/>
        <v>350</v>
      </c>
      <c r="AP40">
        <f t="shared" si="93"/>
        <v>69.999999999999986</v>
      </c>
      <c r="AQ40" s="469">
        <f t="shared" si="94"/>
        <v>350</v>
      </c>
      <c r="AR40" s="469"/>
      <c r="AS40" s="5">
        <f t="shared" si="55"/>
        <v>2.8571428571428572</v>
      </c>
      <c r="AT40" s="5">
        <f t="shared" si="95"/>
        <v>0.46097722286464438</v>
      </c>
      <c r="AU40" s="5">
        <f t="shared" si="56"/>
        <v>2.3961656342782129</v>
      </c>
      <c r="AV40" s="5">
        <f t="shared" si="96"/>
        <v>0.75323075631477843</v>
      </c>
      <c r="AW40" s="177">
        <f t="shared" si="57"/>
        <v>0.16134202800262554</v>
      </c>
      <c r="AX40" s="177">
        <f t="shared" si="97"/>
        <v>1.2693333333333332</v>
      </c>
      <c r="AY40" s="177">
        <f t="shared" si="98"/>
        <v>0.24742542263337239</v>
      </c>
      <c r="AZ40" s="177">
        <f t="shared" si="58"/>
        <v>5.1301653638647853</v>
      </c>
      <c r="BA40" s="469">
        <f t="shared" si="99"/>
        <v>6.273549245269658</v>
      </c>
      <c r="BB40" s="469">
        <f t="shared" si="100"/>
        <v>0.36778816666666658</v>
      </c>
      <c r="BC40" s="5">
        <f t="shared" si="101"/>
        <v>5.8240136944262111E-2</v>
      </c>
      <c r="BD40" s="469">
        <f t="shared" si="102"/>
        <v>9.4350885777486031</v>
      </c>
      <c r="BE40" s="5"/>
      <c r="BF40" s="177">
        <f t="shared" si="59"/>
        <v>0.1140305762981064</v>
      </c>
      <c r="BG40" s="177">
        <f t="shared" si="103"/>
        <v>0.31197604583824806</v>
      </c>
      <c r="BH40" s="177"/>
      <c r="BI40" s="538">
        <f t="shared" si="104"/>
        <v>4.5510403158073916E-3</v>
      </c>
      <c r="BJ40" s="538">
        <f t="shared" si="105"/>
        <v>4.4387558253266325E-2</v>
      </c>
      <c r="BK40" s="538">
        <f t="shared" si="106"/>
        <v>4.3749999999999995E-3</v>
      </c>
      <c r="BL40" s="538">
        <f t="shared" si="107"/>
        <v>4.6565908480000008E-2</v>
      </c>
      <c r="BM40">
        <f t="shared" si="108"/>
        <v>9.2800000000000001E-3</v>
      </c>
      <c r="BN40">
        <f t="shared" si="109"/>
        <v>2.3625000000000002E-5</v>
      </c>
      <c r="BO40" s="538">
        <f t="shared" si="110"/>
        <v>0.10988979331800978</v>
      </c>
      <c r="BP40" s="469">
        <f t="shared" si="60"/>
        <v>109.88979331800978</v>
      </c>
      <c r="BQ40" s="538">
        <f t="shared" si="111"/>
        <v>6.3919698313563839E-2</v>
      </c>
      <c r="BR40" s="538"/>
      <c r="BT40" s="469">
        <f t="shared" si="61"/>
        <v>63.919698313563842</v>
      </c>
      <c r="BU40" s="538">
        <f t="shared" si="112"/>
        <v>1.3002972330878266E-3</v>
      </c>
      <c r="BV40" s="538">
        <f t="shared" si="113"/>
        <v>2.9198715953060598E-3</v>
      </c>
      <c r="BW40" s="538">
        <f t="shared" si="114"/>
        <v>0</v>
      </c>
      <c r="BX40" s="538">
        <f t="shared" si="115"/>
        <v>4.7281853870479763E-3</v>
      </c>
      <c r="BY40" s="538">
        <f t="shared" si="116"/>
        <v>4.2311111111111117E-3</v>
      </c>
      <c r="BZ40" s="469">
        <f t="shared" si="62"/>
        <v>8.9592964981590892</v>
      </c>
      <c r="CA40" s="177">
        <f t="shared" si="63"/>
        <v>0.18276878812973268</v>
      </c>
      <c r="CB40" s="5">
        <f t="shared" si="64"/>
        <v>1.1199999999999999</v>
      </c>
      <c r="CC40" s="177">
        <f t="shared" si="65"/>
        <v>0.8597074248362081</v>
      </c>
      <c r="CD40" s="5">
        <f t="shared" si="66"/>
        <v>85.970742483620811</v>
      </c>
      <c r="CG40" s="571">
        <f t="shared" si="117"/>
        <v>-50</v>
      </c>
      <c r="CH40">
        <f t="shared" si="118"/>
        <v>-50</v>
      </c>
    </row>
    <row r="41" spans="5:86" x14ac:dyDescent="0.25">
      <c r="E41" s="174">
        <v>36</v>
      </c>
      <c r="F41" s="221">
        <f t="shared" si="119"/>
        <v>7.1999999999999995E-2</v>
      </c>
      <c r="G41" s="221"/>
      <c r="H41" s="221">
        <f t="shared" si="67"/>
        <v>1.1519999999999999</v>
      </c>
      <c r="I41" s="551">
        <f t="shared" si="68"/>
        <v>32</v>
      </c>
      <c r="J41" s="176">
        <f t="shared" si="69"/>
        <v>19.584</v>
      </c>
      <c r="K41" s="451">
        <f t="shared" si="70"/>
        <v>51.584000000000003</v>
      </c>
      <c r="L41" s="451"/>
      <c r="M41" s="221">
        <f t="shared" si="71"/>
        <v>0.37965260545905705</v>
      </c>
      <c r="N41" s="176">
        <f t="shared" si="72"/>
        <v>8.200496277915633</v>
      </c>
      <c r="O41" s="176">
        <f t="shared" si="53"/>
        <v>1.1519999999999999</v>
      </c>
      <c r="P41" s="221">
        <f t="shared" si="73"/>
        <v>0.51253101736972706</v>
      </c>
      <c r="Q41" s="221">
        <f t="shared" si="74"/>
        <v>16</v>
      </c>
      <c r="R41" s="221">
        <f t="shared" si="75"/>
        <v>0.56947890818858549</v>
      </c>
      <c r="S41" s="176">
        <f t="shared" si="76"/>
        <v>273.36451278607797</v>
      </c>
      <c r="T41" s="176">
        <f t="shared" si="77"/>
        <v>16</v>
      </c>
      <c r="U41" s="221">
        <f t="shared" si="78"/>
        <v>0.21071895424836601</v>
      </c>
      <c r="V41" s="221">
        <f t="shared" si="79"/>
        <v>0.19754901960784313</v>
      </c>
      <c r="W41" s="221">
        <f t="shared" si="80"/>
        <v>0.32279251569909007</v>
      </c>
      <c r="X41" s="201">
        <f t="shared" si="81"/>
        <v>350</v>
      </c>
      <c r="Y41" s="451">
        <f t="shared" si="54"/>
        <v>350</v>
      </c>
      <c r="AA41" s="221">
        <f t="shared" si="82"/>
        <v>1.1570365118752215</v>
      </c>
      <c r="AB41" s="177">
        <f t="shared" si="83"/>
        <v>1.7724211272598367</v>
      </c>
      <c r="AC41" s="177">
        <f t="shared" si="84"/>
        <v>0.4306587513183206</v>
      </c>
      <c r="AD41" s="177"/>
      <c r="AE41" s="177">
        <f t="shared" si="85"/>
        <v>0.4595588235294118</v>
      </c>
      <c r="AF41" s="555">
        <f t="shared" si="86"/>
        <v>870.4</v>
      </c>
      <c r="AG41" s="538">
        <f t="shared" si="87"/>
        <v>2.8952205882352939E-2</v>
      </c>
      <c r="AI41" s="177">
        <f t="shared" si="88"/>
        <v>0.49868398238334688</v>
      </c>
      <c r="AJ41" s="177">
        <f t="shared" si="89"/>
        <v>0.49868398238334688</v>
      </c>
      <c r="AK41" s="177">
        <f t="shared" si="90"/>
        <v>1.3324559882555644</v>
      </c>
      <c r="AM41" s="555">
        <f t="shared" si="91"/>
        <v>72</v>
      </c>
      <c r="AN41" s="469">
        <f t="shared" si="92"/>
        <v>350</v>
      </c>
      <c r="AP41">
        <f t="shared" si="93"/>
        <v>72</v>
      </c>
      <c r="AQ41" s="469">
        <f t="shared" si="94"/>
        <v>350</v>
      </c>
      <c r="AR41" s="469"/>
      <c r="AS41" s="5">
        <f t="shared" si="55"/>
        <v>2.8571428571428572</v>
      </c>
      <c r="AT41" s="5">
        <f t="shared" si="95"/>
        <v>0.4675162334843877</v>
      </c>
      <c r="AU41" s="5">
        <f t="shared" si="56"/>
        <v>2.3896266236584696</v>
      </c>
      <c r="AV41" s="5">
        <f t="shared" si="96"/>
        <v>0.76391541419017595</v>
      </c>
      <c r="AW41" s="177">
        <f t="shared" si="57"/>
        <v>0.16363068171953568</v>
      </c>
      <c r="AX41" s="177">
        <f t="shared" si="97"/>
        <v>1.3055999999999999</v>
      </c>
      <c r="AY41" s="177">
        <f t="shared" si="98"/>
        <v>0.25025038943000816</v>
      </c>
      <c r="AZ41" s="177">
        <f t="shared" si="58"/>
        <v>5.2171746984040537</v>
      </c>
      <c r="BA41" s="469">
        <f t="shared" si="99"/>
        <v>6.273549245269658</v>
      </c>
      <c r="BB41" s="469">
        <f t="shared" si="100"/>
        <v>0.3829334399999999</v>
      </c>
      <c r="BC41" s="5">
        <f t="shared" si="101"/>
        <v>5.9740665591461725E-2</v>
      </c>
      <c r="BD41" s="469">
        <f t="shared" si="102"/>
        <v>9.6785064946338775</v>
      </c>
      <c r="BE41" s="5"/>
      <c r="BF41" s="177">
        <f t="shared" si="59"/>
        <v>0.11646546406908372</v>
      </c>
      <c r="BG41" s="177">
        <f t="shared" si="103"/>
        <v>0.31596944256549853</v>
      </c>
      <c r="BH41" s="177"/>
      <c r="BI41" s="538">
        <f t="shared" si="104"/>
        <v>4.7474715122894605E-3</v>
      </c>
      <c r="BJ41" s="538">
        <f t="shared" si="105"/>
        <v>4.5017200457709489E-2</v>
      </c>
      <c r="BK41" s="538">
        <f t="shared" si="106"/>
        <v>4.3749999999999995E-3</v>
      </c>
      <c r="BL41" s="538">
        <f t="shared" si="107"/>
        <v>4.6565908480000008E-2</v>
      </c>
      <c r="BM41">
        <f t="shared" si="108"/>
        <v>9.2800000000000001E-3</v>
      </c>
      <c r="BN41">
        <f t="shared" si="109"/>
        <v>2.3625000000000002E-5</v>
      </c>
      <c r="BO41" s="538">
        <f t="shared" si="110"/>
        <v>0.11074711844589273</v>
      </c>
      <c r="BP41" s="469">
        <f t="shared" si="60"/>
        <v>110.74711844589272</v>
      </c>
      <c r="BQ41" s="538">
        <f t="shared" si="111"/>
        <v>6.5641615058628019E-2</v>
      </c>
      <c r="BR41" s="538"/>
      <c r="BT41" s="469">
        <f t="shared" si="61"/>
        <v>65.64161505862802</v>
      </c>
      <c r="BU41" s="538">
        <f t="shared" si="112"/>
        <v>1.3564204320827031E-3</v>
      </c>
      <c r="BV41" s="538">
        <f t="shared" si="113"/>
        <v>2.9951006590545558E-3</v>
      </c>
      <c r="BW41" s="538">
        <f t="shared" si="114"/>
        <v>0</v>
      </c>
      <c r="BX41" s="538">
        <f t="shared" si="115"/>
        <v>4.8754008548455383E-3</v>
      </c>
      <c r="BY41" s="538">
        <f t="shared" si="116"/>
        <v>4.3519999999999991E-3</v>
      </c>
      <c r="BZ41" s="469">
        <f t="shared" si="62"/>
        <v>9.2274008548455377</v>
      </c>
      <c r="CA41" s="177">
        <f t="shared" si="63"/>
        <v>0.18561613435936627</v>
      </c>
      <c r="CB41" s="5">
        <f t="shared" si="64"/>
        <v>1.1519999999999999</v>
      </c>
      <c r="CC41" s="177">
        <f t="shared" si="65"/>
        <v>0.86123363079179305</v>
      </c>
      <c r="CD41" s="5">
        <f t="shared" si="66"/>
        <v>86.123363079179299</v>
      </c>
      <c r="CG41" s="571">
        <f t="shared" si="117"/>
        <v>-50</v>
      </c>
      <c r="CH41">
        <f t="shared" si="118"/>
        <v>-50</v>
      </c>
    </row>
    <row r="42" spans="5:86" x14ac:dyDescent="0.25">
      <c r="E42" s="174">
        <v>37</v>
      </c>
      <c r="F42" s="221">
        <f t="shared" si="119"/>
        <v>7.3999999999999996E-2</v>
      </c>
      <c r="G42" s="221"/>
      <c r="H42" s="221">
        <f t="shared" si="67"/>
        <v>1.1839999999999999</v>
      </c>
      <c r="I42" s="551">
        <f t="shared" si="68"/>
        <v>32</v>
      </c>
      <c r="J42" s="176">
        <f t="shared" si="69"/>
        <v>19.584</v>
      </c>
      <c r="K42" s="451">
        <f t="shared" si="70"/>
        <v>51.584000000000003</v>
      </c>
      <c r="L42" s="451"/>
      <c r="M42" s="221">
        <f t="shared" si="71"/>
        <v>0.37965260545905705</v>
      </c>
      <c r="N42" s="176">
        <f t="shared" si="72"/>
        <v>8.200496277915633</v>
      </c>
      <c r="O42" s="176">
        <f t="shared" si="53"/>
        <v>1.1839999999999999</v>
      </c>
      <c r="P42" s="221">
        <f t="shared" si="73"/>
        <v>0.51253101736972706</v>
      </c>
      <c r="Q42" s="221">
        <f t="shared" si="74"/>
        <v>16</v>
      </c>
      <c r="R42" s="221">
        <f t="shared" si="75"/>
        <v>0.56947890818858549</v>
      </c>
      <c r="S42" s="176">
        <f t="shared" si="76"/>
        <v>265.25735647860648</v>
      </c>
      <c r="T42" s="176">
        <f t="shared" si="77"/>
        <v>16</v>
      </c>
      <c r="U42" s="221">
        <f t="shared" si="78"/>
        <v>0.21657225853304285</v>
      </c>
      <c r="V42" s="221">
        <f t="shared" si="79"/>
        <v>0.20303649237472768</v>
      </c>
      <c r="W42" s="221">
        <f t="shared" si="80"/>
        <v>0.33175897446850927</v>
      </c>
      <c r="X42" s="201">
        <f t="shared" si="81"/>
        <v>350</v>
      </c>
      <c r="Y42" s="451">
        <f t="shared" si="54"/>
        <v>350</v>
      </c>
      <c r="AA42" s="221">
        <f t="shared" si="82"/>
        <v>1.1570365118752215</v>
      </c>
      <c r="AB42" s="177">
        <f t="shared" si="83"/>
        <v>1.7724211272598367</v>
      </c>
      <c r="AC42" s="177">
        <f t="shared" si="84"/>
        <v>0.4306587513183206</v>
      </c>
      <c r="AD42" s="177"/>
      <c r="AE42" s="177">
        <f t="shared" si="85"/>
        <v>0.4595588235294118</v>
      </c>
      <c r="AF42" s="555">
        <f t="shared" si="86"/>
        <v>894.5777777777779</v>
      </c>
      <c r="AG42" s="538">
        <f t="shared" si="87"/>
        <v>2.8952205882352939E-2</v>
      </c>
      <c r="AI42" s="177">
        <f t="shared" si="88"/>
        <v>0.50556270708355333</v>
      </c>
      <c r="AJ42" s="177">
        <f t="shared" si="89"/>
        <v>0.50556270708355333</v>
      </c>
      <c r="AK42" s="177">
        <f t="shared" si="90"/>
        <v>1.3370418047223689</v>
      </c>
      <c r="AM42" s="555">
        <f t="shared" si="91"/>
        <v>74</v>
      </c>
      <c r="AN42" s="469">
        <f t="shared" si="92"/>
        <v>350</v>
      </c>
      <c r="AP42">
        <f t="shared" si="93"/>
        <v>74</v>
      </c>
      <c r="AQ42" s="469">
        <f t="shared" si="94"/>
        <v>350</v>
      </c>
      <c r="AR42" s="469"/>
      <c r="AS42" s="5">
        <f t="shared" si="55"/>
        <v>2.8571428571428572</v>
      </c>
      <c r="AT42" s="5">
        <f t="shared" si="95"/>
        <v>0.47396503789083128</v>
      </c>
      <c r="AU42" s="5">
        <f t="shared" si="56"/>
        <v>2.3831778192520261</v>
      </c>
      <c r="AV42" s="5">
        <f t="shared" si="96"/>
        <v>0.77445267629220793</v>
      </c>
      <c r="AW42" s="177">
        <f t="shared" si="57"/>
        <v>0.16588776326179094</v>
      </c>
      <c r="AX42" s="177">
        <f t="shared" si="97"/>
        <v>1.3418666666666665</v>
      </c>
      <c r="AY42" s="177">
        <f t="shared" si="98"/>
        <v>0.25301762425013197</v>
      </c>
      <c r="AZ42" s="177">
        <f t="shared" si="58"/>
        <v>5.3034513727790911</v>
      </c>
      <c r="BA42" s="469">
        <f t="shared" si="99"/>
        <v>6.273549245269658</v>
      </c>
      <c r="BB42" s="469">
        <f t="shared" si="100"/>
        <v>0.39833632666666657</v>
      </c>
      <c r="BC42" s="5">
        <f t="shared" si="101"/>
        <v>6.1234430078003436E-2</v>
      </c>
      <c r="BD42" s="469">
        <f t="shared" si="102"/>
        <v>9.9208421458138822</v>
      </c>
      <c r="BE42" s="5"/>
      <c r="BF42" s="177">
        <f t="shared" si="59"/>
        <v>0.11888349904293419</v>
      </c>
      <c r="BG42" s="177">
        <f t="shared" si="103"/>
        <v>0.31989532670015175</v>
      </c>
      <c r="BH42" s="177"/>
      <c r="BI42" s="538">
        <f t="shared" si="104"/>
        <v>4.9466502206419669E-3</v>
      </c>
      <c r="BJ42" s="538">
        <f t="shared" si="105"/>
        <v>4.5638156693846528E-2</v>
      </c>
      <c r="BK42" s="538">
        <f t="shared" si="106"/>
        <v>4.3749999999999995E-3</v>
      </c>
      <c r="BL42" s="538">
        <f t="shared" si="107"/>
        <v>4.6565908480000008E-2</v>
      </c>
      <c r="BM42">
        <f t="shared" si="108"/>
        <v>9.2800000000000001E-3</v>
      </c>
      <c r="BN42">
        <f t="shared" si="109"/>
        <v>2.3625000000000002E-5</v>
      </c>
      <c r="BO42" s="538">
        <f t="shared" si="110"/>
        <v>0.11159898976965447</v>
      </c>
      <c r="BP42" s="469">
        <f t="shared" si="60"/>
        <v>111.59898976965448</v>
      </c>
      <c r="BQ42" s="538">
        <f t="shared" si="111"/>
        <v>6.7359213657035996E-2</v>
      </c>
      <c r="BR42" s="538"/>
      <c r="BT42" s="469">
        <f t="shared" si="61"/>
        <v>67.359213657035994</v>
      </c>
      <c r="BU42" s="538">
        <f t="shared" si="112"/>
        <v>1.4133286344691336E-3</v>
      </c>
      <c r="BV42" s="538">
        <f t="shared" si="113"/>
        <v>3.0699906013379047E-3</v>
      </c>
      <c r="BW42" s="538">
        <f t="shared" si="114"/>
        <v>0</v>
      </c>
      <c r="BX42" s="538">
        <f t="shared" si="115"/>
        <v>5.0231191638455651E-3</v>
      </c>
      <c r="BY42" s="538">
        <f t="shared" si="116"/>
        <v>4.4728888888888882E-3</v>
      </c>
      <c r="BZ42" s="469">
        <f t="shared" si="62"/>
        <v>9.496008052734453</v>
      </c>
      <c r="CA42" s="177">
        <f t="shared" si="63"/>
        <v>0.18845421147942493</v>
      </c>
      <c r="CB42" s="5">
        <f t="shared" si="64"/>
        <v>1.1839999999999999</v>
      </c>
      <c r="CC42" s="177">
        <f t="shared" si="65"/>
        <v>0.86268816117640645</v>
      </c>
      <c r="CD42" s="5">
        <f t="shared" si="66"/>
        <v>86.26881611764064</v>
      </c>
      <c r="CG42" s="571">
        <f t="shared" si="117"/>
        <v>-50</v>
      </c>
      <c r="CH42">
        <f t="shared" si="118"/>
        <v>-50</v>
      </c>
    </row>
    <row r="43" spans="5:86" x14ac:dyDescent="0.25">
      <c r="E43" s="174">
        <v>38</v>
      </c>
      <c r="F43" s="221">
        <f t="shared" si="119"/>
        <v>7.6000000000000012E-2</v>
      </c>
      <c r="G43" s="221"/>
      <c r="H43" s="221">
        <f t="shared" si="67"/>
        <v>1.2160000000000002</v>
      </c>
      <c r="I43" s="551">
        <f t="shared" si="68"/>
        <v>32</v>
      </c>
      <c r="J43" s="176">
        <f t="shared" si="69"/>
        <v>19.584</v>
      </c>
      <c r="K43" s="451">
        <f t="shared" si="70"/>
        <v>51.584000000000003</v>
      </c>
      <c r="L43" s="451"/>
      <c r="M43" s="221">
        <f t="shared" si="71"/>
        <v>0.37965260545905705</v>
      </c>
      <c r="N43" s="176">
        <f t="shared" si="72"/>
        <v>8.200496277915633</v>
      </c>
      <c r="O43" s="176">
        <f t="shared" si="53"/>
        <v>1.2160000000000002</v>
      </c>
      <c r="P43" s="221">
        <f t="shared" si="73"/>
        <v>0.51253101736972706</v>
      </c>
      <c r="Q43" s="221">
        <f t="shared" si="74"/>
        <v>16</v>
      </c>
      <c r="R43" s="221">
        <f t="shared" si="75"/>
        <v>0.56947890818858549</v>
      </c>
      <c r="S43" s="176">
        <f t="shared" si="76"/>
        <v>257.57694780082869</v>
      </c>
      <c r="T43" s="176">
        <f t="shared" si="77"/>
        <v>16</v>
      </c>
      <c r="U43" s="221">
        <f t="shared" si="78"/>
        <v>0.22242556281771975</v>
      </c>
      <c r="V43" s="221">
        <f t="shared" si="79"/>
        <v>0.20852396514161226</v>
      </c>
      <c r="W43" s="221">
        <f t="shared" si="80"/>
        <v>0.34072543323792853</v>
      </c>
      <c r="X43" s="201">
        <f t="shared" si="81"/>
        <v>350</v>
      </c>
      <c r="Y43" s="451">
        <f t="shared" si="54"/>
        <v>350</v>
      </c>
      <c r="AA43" s="221">
        <f t="shared" si="82"/>
        <v>1.1570365118752215</v>
      </c>
      <c r="AB43" s="177">
        <f t="shared" si="83"/>
        <v>1.7724211272598367</v>
      </c>
      <c r="AC43" s="177">
        <f t="shared" si="84"/>
        <v>0.4306587513183206</v>
      </c>
      <c r="AD43" s="177"/>
      <c r="AE43" s="177">
        <f t="shared" si="85"/>
        <v>0.4595588235294118</v>
      </c>
      <c r="AF43" s="555">
        <f t="shared" si="86"/>
        <v>918.7555555555557</v>
      </c>
      <c r="AG43" s="538">
        <f t="shared" si="87"/>
        <v>2.8952205882352939E-2</v>
      </c>
      <c r="AI43" s="177">
        <f t="shared" si="88"/>
        <v>0.51234908734337314</v>
      </c>
      <c r="AJ43" s="177">
        <f t="shared" si="89"/>
        <v>0.51234908734337314</v>
      </c>
      <c r="AK43" s="177">
        <f t="shared" si="90"/>
        <v>1.3415660582289153</v>
      </c>
      <c r="AM43" s="555">
        <f t="shared" si="91"/>
        <v>76.000000000000014</v>
      </c>
      <c r="AN43" s="469">
        <f t="shared" si="92"/>
        <v>350</v>
      </c>
      <c r="AP43">
        <f t="shared" si="93"/>
        <v>76.000000000000014</v>
      </c>
      <c r="AQ43" s="469">
        <f t="shared" si="94"/>
        <v>350</v>
      </c>
      <c r="AR43" s="469"/>
      <c r="AS43" s="5">
        <f t="shared" si="55"/>
        <v>2.8571428571428572</v>
      </c>
      <c r="AT43" s="5">
        <f t="shared" si="95"/>
        <v>0.48032726938441234</v>
      </c>
      <c r="AU43" s="5">
        <f t="shared" si="56"/>
        <v>2.3768155877584447</v>
      </c>
      <c r="AV43" s="5">
        <f t="shared" si="96"/>
        <v>0.78484847938629476</v>
      </c>
      <c r="AW43" s="177">
        <f t="shared" si="57"/>
        <v>0.16811454428454431</v>
      </c>
      <c r="AX43" s="177">
        <f t="shared" si="97"/>
        <v>1.3781333333333339</v>
      </c>
      <c r="AY43" s="177">
        <f t="shared" si="98"/>
        <v>0.25572945240602385</v>
      </c>
      <c r="AZ43" s="177">
        <f t="shared" si="58"/>
        <v>5.3890286017789606</v>
      </c>
      <c r="BA43" s="469">
        <f t="shared" si="99"/>
        <v>6.273549245269658</v>
      </c>
      <c r="BB43" s="469">
        <f t="shared" si="100"/>
        <v>0.41399682666666671</v>
      </c>
      <c r="BC43" s="5">
        <f t="shared" si="101"/>
        <v>6.272152245473675E-2</v>
      </c>
      <c r="BD43" s="469">
        <f t="shared" si="102"/>
        <v>10.162110259424546</v>
      </c>
      <c r="BE43" s="5"/>
      <c r="BF43" s="177">
        <f t="shared" si="59"/>
        <v>0.12128524879140068</v>
      </c>
      <c r="BG43" s="177">
        <f t="shared" si="103"/>
        <v>0.32375639180970234</v>
      </c>
      <c r="BH43" s="177"/>
      <c r="BI43" s="538">
        <f t="shared" si="104"/>
        <v>5.1485390510371863E-3</v>
      </c>
      <c r="BJ43" s="538">
        <f t="shared" si="105"/>
        <v>4.6250776812660994E-2</v>
      </c>
      <c r="BK43" s="538">
        <f t="shared" si="106"/>
        <v>4.3749999999999995E-3</v>
      </c>
      <c r="BL43" s="538">
        <f t="shared" si="107"/>
        <v>4.6565908480000008E-2</v>
      </c>
      <c r="BM43">
        <f t="shared" si="108"/>
        <v>9.2800000000000001E-3</v>
      </c>
      <c r="BN43">
        <f t="shared" si="109"/>
        <v>2.3625000000000002E-5</v>
      </c>
      <c r="BO43" s="538">
        <f t="shared" si="110"/>
        <v>0.11244571491356657</v>
      </c>
      <c r="BP43" s="469">
        <f t="shared" si="60"/>
        <v>112.44571491356658</v>
      </c>
      <c r="BQ43" s="538">
        <f t="shared" si="111"/>
        <v>6.907255287277754E-2</v>
      </c>
      <c r="BR43" s="538"/>
      <c r="BT43" s="469">
        <f t="shared" si="61"/>
        <v>69.072552872777536</v>
      </c>
      <c r="BU43" s="538">
        <f t="shared" si="112"/>
        <v>1.4710111574391962E-3</v>
      </c>
      <c r="BV43" s="538">
        <f t="shared" si="113"/>
        <v>3.1445460371291247E-3</v>
      </c>
      <c r="BW43" s="538">
        <f t="shared" si="114"/>
        <v>0</v>
      </c>
      <c r="BX43" s="538">
        <f t="shared" si="115"/>
        <v>5.1713335447763674E-3</v>
      </c>
      <c r="BY43" s="538">
        <f t="shared" si="116"/>
        <v>4.59377777777778E-3</v>
      </c>
      <c r="BZ43" s="469">
        <f t="shared" si="62"/>
        <v>9.7651113225541462</v>
      </c>
      <c r="CA43" s="177">
        <f t="shared" si="63"/>
        <v>0.19128337910889825</v>
      </c>
      <c r="CB43" s="5">
        <f t="shared" si="64"/>
        <v>1.2160000000000002</v>
      </c>
      <c r="CC43" s="177">
        <f t="shared" si="65"/>
        <v>0.86407614703015945</v>
      </c>
      <c r="CD43" s="5">
        <f t="shared" si="66"/>
        <v>86.407614703015952</v>
      </c>
      <c r="CG43" s="571">
        <f t="shared" si="117"/>
        <v>-50</v>
      </c>
      <c r="CH43">
        <f t="shared" si="118"/>
        <v>-50</v>
      </c>
    </row>
    <row r="44" spans="5:86" x14ac:dyDescent="0.25">
      <c r="E44" s="174">
        <v>39</v>
      </c>
      <c r="F44" s="221">
        <f t="shared" si="119"/>
        <v>7.8000000000000014E-2</v>
      </c>
      <c r="G44" s="221"/>
      <c r="H44" s="221">
        <f t="shared" si="67"/>
        <v>1.2480000000000002</v>
      </c>
      <c r="I44" s="551">
        <f t="shared" si="68"/>
        <v>32</v>
      </c>
      <c r="J44" s="176">
        <f t="shared" si="69"/>
        <v>19.584</v>
      </c>
      <c r="K44" s="451">
        <f t="shared" si="70"/>
        <v>51.584000000000003</v>
      </c>
      <c r="L44" s="451"/>
      <c r="M44" s="221">
        <f t="shared" si="71"/>
        <v>0.37965260545905705</v>
      </c>
      <c r="N44" s="176">
        <f t="shared" si="72"/>
        <v>8.200496277915633</v>
      </c>
      <c r="O44" s="176">
        <f t="shared" si="53"/>
        <v>1.2480000000000002</v>
      </c>
      <c r="P44" s="221">
        <f t="shared" si="73"/>
        <v>0.51253101736972706</v>
      </c>
      <c r="Q44" s="221">
        <f t="shared" si="74"/>
        <v>16</v>
      </c>
      <c r="R44" s="221">
        <f t="shared" si="75"/>
        <v>0.56947890818858549</v>
      </c>
      <c r="S44" s="176">
        <f t="shared" si="76"/>
        <v>250.29046044457149</v>
      </c>
      <c r="T44" s="176">
        <f t="shared" si="77"/>
        <v>16</v>
      </c>
      <c r="U44" s="221">
        <f t="shared" si="78"/>
        <v>0.22827886710239656</v>
      </c>
      <c r="V44" s="221">
        <f t="shared" si="79"/>
        <v>0.21401143790849678</v>
      </c>
      <c r="W44" s="221">
        <f t="shared" si="80"/>
        <v>0.34969189200734768</v>
      </c>
      <c r="X44" s="201">
        <f t="shared" si="81"/>
        <v>350</v>
      </c>
      <c r="Y44" s="451">
        <f t="shared" si="54"/>
        <v>350</v>
      </c>
      <c r="AA44" s="221">
        <f t="shared" si="82"/>
        <v>1.1570365118752215</v>
      </c>
      <c r="AB44" s="177">
        <f t="shared" si="83"/>
        <v>1.7724211272598367</v>
      </c>
      <c r="AC44" s="177">
        <f t="shared" si="84"/>
        <v>0.4306587513183206</v>
      </c>
      <c r="AD44" s="177"/>
      <c r="AE44" s="177">
        <f t="shared" si="85"/>
        <v>0.4595588235294118</v>
      </c>
      <c r="AF44" s="555">
        <f t="shared" si="86"/>
        <v>942.93333333333362</v>
      </c>
      <c r="AG44" s="538">
        <f t="shared" si="87"/>
        <v>2.8952205882352939E-2</v>
      </c>
      <c r="AI44" s="177">
        <f t="shared" si="88"/>
        <v>0.51904674530289063</v>
      </c>
      <c r="AJ44" s="177">
        <f t="shared" si="89"/>
        <v>0.51904674530289063</v>
      </c>
      <c r="AK44" s="177">
        <f t="shared" si="90"/>
        <v>1.3460311635352604</v>
      </c>
      <c r="AM44" s="555">
        <f t="shared" si="91"/>
        <v>78.000000000000014</v>
      </c>
      <c r="AN44" s="469">
        <f t="shared" si="92"/>
        <v>350</v>
      </c>
      <c r="AP44">
        <f t="shared" si="93"/>
        <v>78.000000000000014</v>
      </c>
      <c r="AQ44" s="469">
        <f t="shared" si="94"/>
        <v>350</v>
      </c>
      <c r="AR44" s="469"/>
      <c r="AS44" s="5">
        <f t="shared" si="55"/>
        <v>2.8571428571428572</v>
      </c>
      <c r="AT44" s="5">
        <f t="shared" si="95"/>
        <v>0.48660632372146001</v>
      </c>
      <c r="AU44" s="5">
        <f t="shared" si="56"/>
        <v>2.3705365334213973</v>
      </c>
      <c r="AV44" s="5">
        <f t="shared" si="96"/>
        <v>0.79510837209388885</v>
      </c>
      <c r="AW44" s="177">
        <f t="shared" si="57"/>
        <v>0.17031221330251101</v>
      </c>
      <c r="AX44" s="177">
        <f t="shared" si="97"/>
        <v>1.4144000000000001</v>
      </c>
      <c r="AY44" s="177">
        <f t="shared" si="98"/>
        <v>0.25838804718173436</v>
      </c>
      <c r="AZ44" s="177">
        <f t="shared" si="58"/>
        <v>5.4739374186500109</v>
      </c>
      <c r="BA44" s="469">
        <f t="shared" si="99"/>
        <v>6.273549245269658</v>
      </c>
      <c r="BB44" s="469">
        <f t="shared" si="100"/>
        <v>0.42991494000000008</v>
      </c>
      <c r="BC44" s="5">
        <f t="shared" si="101"/>
        <v>6.4202031113496191E-2</v>
      </c>
      <c r="BD44" s="469">
        <f t="shared" si="102"/>
        <v>10.40232497815939</v>
      </c>
      <c r="BE44" s="5"/>
      <c r="BF44" s="177">
        <f t="shared" si="59"/>
        <v>0.12367124737892196</v>
      </c>
      <c r="BG44" s="177">
        <f t="shared" si="103"/>
        <v>0.32755515555686066</v>
      </c>
      <c r="BH44" s="177"/>
      <c r="BI44" s="538">
        <f t="shared" si="104"/>
        <v>5.3531020998904789E-3</v>
      </c>
      <c r="BJ44" s="538">
        <f t="shared" si="105"/>
        <v>4.6855387791982547E-2</v>
      </c>
      <c r="BK44" s="538">
        <f t="shared" si="106"/>
        <v>4.3749999999999995E-3</v>
      </c>
      <c r="BL44" s="538">
        <f t="shared" si="107"/>
        <v>4.6565908480000008E-2</v>
      </c>
      <c r="BM44">
        <f t="shared" si="108"/>
        <v>9.2800000000000001E-3</v>
      </c>
      <c r="BN44">
        <f t="shared" si="109"/>
        <v>2.3625000000000002E-5</v>
      </c>
      <c r="BO44" s="538">
        <f t="shared" si="110"/>
        <v>0.11328758033243745</v>
      </c>
      <c r="BP44" s="469">
        <f t="shared" si="60"/>
        <v>113.28758033243746</v>
      </c>
      <c r="BQ44" s="538">
        <f t="shared" si="111"/>
        <v>7.0781689133977851E-2</v>
      </c>
      <c r="BR44" s="538"/>
      <c r="BT44" s="469">
        <f t="shared" si="61"/>
        <v>70.781689133977849</v>
      </c>
      <c r="BU44" s="538">
        <f t="shared" si="112"/>
        <v>1.5294577428258513E-3</v>
      </c>
      <c r="BV44" s="538">
        <f t="shared" si="113"/>
        <v>3.2187713979563754E-3</v>
      </c>
      <c r="BW44" s="538">
        <f t="shared" si="114"/>
        <v>0</v>
      </c>
      <c r="BX44" s="538">
        <f t="shared" si="115"/>
        <v>5.3200374982424305E-3</v>
      </c>
      <c r="BY44" s="538">
        <f t="shared" si="116"/>
        <v>4.7146666666666674E-3</v>
      </c>
      <c r="BZ44" s="469">
        <f t="shared" si="62"/>
        <v>10.034704164909099</v>
      </c>
      <c r="CA44" s="177">
        <f t="shared" si="63"/>
        <v>0.19410397363132439</v>
      </c>
      <c r="CB44" s="5">
        <f t="shared" si="64"/>
        <v>1.2480000000000002</v>
      </c>
      <c r="CC44" s="177">
        <f t="shared" si="65"/>
        <v>0.86540223369431801</v>
      </c>
      <c r="CD44" s="5">
        <f t="shared" si="66"/>
        <v>86.5402233694318</v>
      </c>
      <c r="CG44" s="571">
        <f t="shared" si="117"/>
        <v>-50</v>
      </c>
      <c r="CH44">
        <f t="shared" si="118"/>
        <v>-50</v>
      </c>
    </row>
    <row r="45" spans="5:86" x14ac:dyDescent="0.25">
      <c r="E45" s="174">
        <v>40</v>
      </c>
      <c r="F45" s="221">
        <f t="shared" si="119"/>
        <v>8.0000000000000016E-2</v>
      </c>
      <c r="G45" s="221"/>
      <c r="H45" s="221">
        <f t="shared" si="67"/>
        <v>1.2800000000000002</v>
      </c>
      <c r="I45" s="551">
        <f t="shared" si="68"/>
        <v>32</v>
      </c>
      <c r="J45" s="176">
        <f t="shared" si="69"/>
        <v>19.584</v>
      </c>
      <c r="K45" s="451">
        <f t="shared" si="70"/>
        <v>51.584000000000003</v>
      </c>
      <c r="L45" s="451"/>
      <c r="M45" s="221">
        <f t="shared" si="71"/>
        <v>0.37965260545905705</v>
      </c>
      <c r="N45" s="176">
        <f t="shared" si="72"/>
        <v>8.200496277915633</v>
      </c>
      <c r="O45" s="176">
        <f t="shared" si="53"/>
        <v>1.2800000000000002</v>
      </c>
      <c r="P45" s="221">
        <f t="shared" si="73"/>
        <v>0.51253101736972706</v>
      </c>
      <c r="Q45" s="221">
        <f t="shared" si="74"/>
        <v>16</v>
      </c>
      <c r="R45" s="221">
        <f t="shared" si="75"/>
        <v>0.56947890818858549</v>
      </c>
      <c r="S45" s="176">
        <f t="shared" si="76"/>
        <v>243.36835073694539</v>
      </c>
      <c r="T45" s="176">
        <f t="shared" si="77"/>
        <v>16</v>
      </c>
      <c r="U45" s="221">
        <f t="shared" si="78"/>
        <v>0.2341321713870734</v>
      </c>
      <c r="V45" s="221">
        <f t="shared" si="79"/>
        <v>0.21949891067538133</v>
      </c>
      <c r="W45" s="221">
        <f t="shared" si="80"/>
        <v>0.35865835077676683</v>
      </c>
      <c r="X45" s="201">
        <f t="shared" si="81"/>
        <v>350</v>
      </c>
      <c r="Y45" s="451">
        <f t="shared" si="54"/>
        <v>350</v>
      </c>
      <c r="AA45" s="221">
        <f t="shared" si="82"/>
        <v>1.1570365118752215</v>
      </c>
      <c r="AB45" s="177">
        <f t="shared" si="83"/>
        <v>1.7724211272598367</v>
      </c>
      <c r="AC45" s="177">
        <f t="shared" si="84"/>
        <v>0.4306587513183206</v>
      </c>
      <c r="AD45" s="177"/>
      <c r="AE45" s="177">
        <f t="shared" si="85"/>
        <v>0.4595588235294118</v>
      </c>
      <c r="AF45" s="555">
        <f t="shared" si="86"/>
        <v>967.11111111111131</v>
      </c>
      <c r="AG45" s="538">
        <f t="shared" si="87"/>
        <v>2.8952205882352939E-2</v>
      </c>
      <c r="AI45" s="177">
        <f t="shared" si="88"/>
        <v>0.52565907232488662</v>
      </c>
      <c r="AJ45" s="177">
        <f t="shared" si="89"/>
        <v>0.52565907232488662</v>
      </c>
      <c r="AK45" s="177">
        <f t="shared" si="90"/>
        <v>1.3504393815499243</v>
      </c>
      <c r="AM45" s="555">
        <f t="shared" si="91"/>
        <v>80.000000000000014</v>
      </c>
      <c r="AN45" s="469">
        <f t="shared" si="92"/>
        <v>350</v>
      </c>
      <c r="AP45">
        <f t="shared" si="93"/>
        <v>80.000000000000014</v>
      </c>
      <c r="AQ45" s="469">
        <f t="shared" si="94"/>
        <v>350</v>
      </c>
      <c r="AR45" s="469"/>
      <c r="AS45" s="5">
        <f t="shared" si="55"/>
        <v>2.8571428571428572</v>
      </c>
      <c r="AT45" s="5">
        <f t="shared" si="95"/>
        <v>0.49280538030458121</v>
      </c>
      <c r="AU45" s="5">
        <f t="shared" si="56"/>
        <v>2.3643374768382759</v>
      </c>
      <c r="AV45" s="5">
        <f t="shared" si="96"/>
        <v>0.80523754951728954</v>
      </c>
      <c r="AW45" s="177">
        <f t="shared" si="57"/>
        <v>0.17248188310660342</v>
      </c>
      <c r="AX45" s="177">
        <f t="shared" si="97"/>
        <v>1.4506666666666674</v>
      </c>
      <c r="AY45" s="177">
        <f t="shared" si="98"/>
        <v>0.26099544339493197</v>
      </c>
      <c r="AZ45" s="177">
        <f t="shared" si="58"/>
        <v>5.5582068705757202</v>
      </c>
      <c r="BA45" s="469">
        <f t="shared" si="99"/>
        <v>6.273549245269658</v>
      </c>
      <c r="BB45" s="469">
        <f t="shared" si="100"/>
        <v>0.44609066666666675</v>
      </c>
      <c r="BC45" s="5">
        <f t="shared" si="101"/>
        <v>6.5676041023285447E-2</v>
      </c>
      <c r="BD45" s="469">
        <f t="shared" si="102"/>
        <v>10.641499897059006</v>
      </c>
      <c r="BE45" s="5"/>
      <c r="BF45" s="177">
        <f t="shared" si="59"/>
        <v>0.12604199814716485</v>
      </c>
      <c r="BG45" s="177">
        <f t="shared" si="103"/>
        <v>0.33129397538259264</v>
      </c>
      <c r="BH45" s="177"/>
      <c r="BI45" s="538">
        <f t="shared" si="104"/>
        <v>5.560304853925468E-3</v>
      </c>
      <c r="BJ45" s="538">
        <f t="shared" si="105"/>
        <v>4.7452295776912172E-2</v>
      </c>
      <c r="BK45" s="538">
        <f t="shared" si="106"/>
        <v>4.3749999999999995E-3</v>
      </c>
      <c r="BL45" s="538">
        <f t="shared" si="107"/>
        <v>4.6565908480000008E-2</v>
      </c>
      <c r="BM45">
        <f t="shared" si="108"/>
        <v>9.2800000000000001E-3</v>
      </c>
      <c r="BN45">
        <f t="shared" si="109"/>
        <v>2.3625000000000002E-5</v>
      </c>
      <c r="BO45" s="538">
        <f t="shared" si="110"/>
        <v>0.11412485324208543</v>
      </c>
      <c r="BP45" s="469">
        <f t="shared" si="60"/>
        <v>114.12485324208544</v>
      </c>
      <c r="BQ45" s="538">
        <f t="shared" si="111"/>
        <v>7.2486676683674325E-2</v>
      </c>
      <c r="BR45" s="538"/>
      <c r="BT45" s="469">
        <f t="shared" si="61"/>
        <v>72.486676683674332</v>
      </c>
      <c r="BU45" s="538">
        <f t="shared" si="112"/>
        <v>1.588658529692991E-3</v>
      </c>
      <c r="BV45" s="538">
        <f t="shared" si="113"/>
        <v>3.292670943744057E-3</v>
      </c>
      <c r="BW45" s="538">
        <f t="shared" si="114"/>
        <v>0</v>
      </c>
      <c r="BX45" s="538">
        <f t="shared" si="115"/>
        <v>5.4692247772976767E-3</v>
      </c>
      <c r="BY45" s="538">
        <f t="shared" si="116"/>
        <v>4.8355555555555573E-3</v>
      </c>
      <c r="BZ45" s="469">
        <f t="shared" si="62"/>
        <v>10.304780332853234</v>
      </c>
      <c r="CA45" s="177">
        <f t="shared" si="63"/>
        <v>0.19691631025861298</v>
      </c>
      <c r="CB45" s="5">
        <f t="shared" si="64"/>
        <v>1.2800000000000002</v>
      </c>
      <c r="CC45" s="177">
        <f t="shared" si="65"/>
        <v>0.86667063740115902</v>
      </c>
      <c r="CD45" s="5">
        <f t="shared" si="66"/>
        <v>86.667063740115907</v>
      </c>
      <c r="CG45" s="571">
        <f t="shared" si="117"/>
        <v>-50</v>
      </c>
      <c r="CH45">
        <f t="shared" si="118"/>
        <v>-50</v>
      </c>
    </row>
    <row r="46" spans="5:86" x14ac:dyDescent="0.25">
      <c r="E46" s="174">
        <v>41</v>
      </c>
      <c r="F46" s="221">
        <f t="shared" si="119"/>
        <v>8.2000000000000003E-2</v>
      </c>
      <c r="G46" s="221"/>
      <c r="H46" s="221">
        <f t="shared" si="67"/>
        <v>1.3120000000000001</v>
      </c>
      <c r="I46" s="551">
        <f t="shared" si="68"/>
        <v>32</v>
      </c>
      <c r="J46" s="176">
        <f t="shared" si="69"/>
        <v>19.584</v>
      </c>
      <c r="K46" s="451">
        <f t="shared" si="70"/>
        <v>51.584000000000003</v>
      </c>
      <c r="L46" s="451"/>
      <c r="M46" s="221">
        <f t="shared" si="71"/>
        <v>0.37965260545905705</v>
      </c>
      <c r="N46" s="176">
        <f t="shared" si="72"/>
        <v>8.200496277915633</v>
      </c>
      <c r="O46" s="176">
        <f t="shared" si="53"/>
        <v>1.3120000000000001</v>
      </c>
      <c r="P46" s="221">
        <f t="shared" si="73"/>
        <v>0.51253101736972706</v>
      </c>
      <c r="Q46" s="221">
        <f t="shared" si="74"/>
        <v>16</v>
      </c>
      <c r="R46" s="221">
        <f t="shared" si="75"/>
        <v>0.56947890818858549</v>
      </c>
      <c r="S46" s="176">
        <f t="shared" si="76"/>
        <v>236.78395731902549</v>
      </c>
      <c r="T46" s="176">
        <f t="shared" si="77"/>
        <v>16</v>
      </c>
      <c r="U46" s="221">
        <f t="shared" si="78"/>
        <v>0.23998547567175021</v>
      </c>
      <c r="V46" s="221">
        <f t="shared" si="79"/>
        <v>0.22498638344226582</v>
      </c>
      <c r="W46" s="221">
        <f t="shared" si="80"/>
        <v>0.36762480954618598</v>
      </c>
      <c r="X46" s="201">
        <f t="shared" si="81"/>
        <v>350</v>
      </c>
      <c r="Y46" s="451">
        <f t="shared" si="54"/>
        <v>350</v>
      </c>
      <c r="AA46" s="221">
        <f t="shared" si="82"/>
        <v>1.1570365118752215</v>
      </c>
      <c r="AB46" s="177">
        <f t="shared" si="83"/>
        <v>1.7724211272598367</v>
      </c>
      <c r="AC46" s="177">
        <f t="shared" si="84"/>
        <v>0.4306587513183206</v>
      </c>
      <c r="AD46" s="177"/>
      <c r="AE46" s="177">
        <f t="shared" si="85"/>
        <v>0.4595588235294118</v>
      </c>
      <c r="AF46" s="555">
        <f t="shared" si="86"/>
        <v>991.28888888888901</v>
      </c>
      <c r="AG46" s="538">
        <f t="shared" si="87"/>
        <v>2.8952205882352939E-2</v>
      </c>
      <c r="AI46" s="177">
        <f t="shared" si="88"/>
        <v>0.53218924906972409</v>
      </c>
      <c r="AJ46" s="177">
        <f t="shared" si="89"/>
        <v>0.53218924906972409</v>
      </c>
      <c r="AK46" s="177">
        <f t="shared" si="90"/>
        <v>1.3547928327131493</v>
      </c>
      <c r="AM46" s="555">
        <f t="shared" si="91"/>
        <v>82</v>
      </c>
      <c r="AN46" s="469">
        <f t="shared" si="92"/>
        <v>350</v>
      </c>
      <c r="AP46">
        <f t="shared" si="93"/>
        <v>82</v>
      </c>
      <c r="AQ46" s="469">
        <f t="shared" si="94"/>
        <v>350</v>
      </c>
      <c r="AR46" s="469"/>
      <c r="AS46" s="5">
        <f t="shared" si="55"/>
        <v>2.8571428571428572</v>
      </c>
      <c r="AT46" s="5">
        <f t="shared" si="95"/>
        <v>0.4989274210028663</v>
      </c>
      <c r="AU46" s="5">
        <f t="shared" si="56"/>
        <v>2.3582154361399907</v>
      </c>
      <c r="AV46" s="5">
        <f t="shared" si="96"/>
        <v>0.81524088399161165</v>
      </c>
      <c r="AW46" s="177">
        <f t="shared" si="57"/>
        <v>0.17462459735100319</v>
      </c>
      <c r="AX46" s="177">
        <f t="shared" si="97"/>
        <v>1.4869333333333334</v>
      </c>
      <c r="AY46" s="177">
        <f t="shared" si="98"/>
        <v>0.26355354944183446</v>
      </c>
      <c r="AZ46" s="177">
        <f t="shared" si="58"/>
        <v>5.6418641922388355</v>
      </c>
      <c r="BA46" s="469">
        <f t="shared" si="99"/>
        <v>6.273549245269658</v>
      </c>
      <c r="BB46" s="469">
        <f t="shared" si="100"/>
        <v>0.46252400666666665</v>
      </c>
      <c r="BC46" s="5">
        <f t="shared" si="101"/>
        <v>6.7143633945652523E-2</v>
      </c>
      <c r="BD46" s="469">
        <f t="shared" si="102"/>
        <v>10.879648097971071</v>
      </c>
      <c r="BE46" s="5"/>
      <c r="BF46" s="177">
        <f t="shared" si="59"/>
        <v>0.12839797620447271</v>
      </c>
      <c r="BG46" s="177">
        <f t="shared" si="103"/>
        <v>0.33497506243553143</v>
      </c>
      <c r="BH46" s="177"/>
      <c r="BI46" s="538">
        <f t="shared" si="104"/>
        <v>5.77011410269152E-3</v>
      </c>
      <c r="BJ46" s="538">
        <f t="shared" si="105"/>
        <v>4.8041787892022146E-2</v>
      </c>
      <c r="BK46" s="538">
        <f t="shared" si="106"/>
        <v>4.3749999999999995E-3</v>
      </c>
      <c r="BL46" s="538">
        <f t="shared" si="107"/>
        <v>4.6565908480000008E-2</v>
      </c>
      <c r="BM46">
        <f t="shared" si="108"/>
        <v>9.2800000000000001E-3</v>
      </c>
      <c r="BN46">
        <f t="shared" si="109"/>
        <v>2.3625000000000002E-5</v>
      </c>
      <c r="BO46" s="538">
        <f t="shared" si="110"/>
        <v>0.1149577833312742</v>
      </c>
      <c r="BP46" s="469">
        <f t="shared" si="60"/>
        <v>114.9577833312742</v>
      </c>
      <c r="BQ46" s="538">
        <f t="shared" si="111"/>
        <v>7.4187567717308903E-2</v>
      </c>
      <c r="BR46" s="538"/>
      <c r="BT46" s="469">
        <f t="shared" si="61"/>
        <v>74.187567717308909</v>
      </c>
      <c r="BU46" s="538">
        <f t="shared" si="112"/>
        <v>1.6486040293404343E-3</v>
      </c>
      <c r="BV46" s="538">
        <f t="shared" si="113"/>
        <v>3.3662487736106452E-3</v>
      </c>
      <c r="BW46" s="538">
        <f t="shared" si="114"/>
        <v>0</v>
      </c>
      <c r="BX46" s="538">
        <f t="shared" si="115"/>
        <v>5.6188893715543621E-3</v>
      </c>
      <c r="BY46" s="538">
        <f t="shared" si="116"/>
        <v>4.9564444444444447E-3</v>
      </c>
      <c r="BZ46" s="469">
        <f t="shared" si="62"/>
        <v>10.575333815998807</v>
      </c>
      <c r="CA46" s="177">
        <f t="shared" si="63"/>
        <v>0.19972068486458192</v>
      </c>
      <c r="CB46" s="5">
        <f t="shared" si="64"/>
        <v>1.3120000000000001</v>
      </c>
      <c r="CC46" s="177">
        <f t="shared" si="65"/>
        <v>0.86788519409425657</v>
      </c>
      <c r="CD46" s="5">
        <f t="shared" si="66"/>
        <v>86.78851940942566</v>
      </c>
      <c r="CG46" s="571">
        <f t="shared" si="117"/>
        <v>-50</v>
      </c>
      <c r="CH46">
        <f t="shared" si="118"/>
        <v>-50</v>
      </c>
    </row>
    <row r="47" spans="5:86" x14ac:dyDescent="0.25">
      <c r="E47" s="174">
        <v>42</v>
      </c>
      <c r="F47" s="221">
        <f t="shared" si="119"/>
        <v>8.4000000000000005E-2</v>
      </c>
      <c r="G47" s="221"/>
      <c r="H47" s="221">
        <f t="shared" si="67"/>
        <v>1.3440000000000001</v>
      </c>
      <c r="I47" s="551">
        <f t="shared" si="68"/>
        <v>32</v>
      </c>
      <c r="J47" s="176">
        <f t="shared" si="69"/>
        <v>19.584</v>
      </c>
      <c r="K47" s="451">
        <f t="shared" si="70"/>
        <v>51.584000000000003</v>
      </c>
      <c r="L47" s="451"/>
      <c r="M47" s="221">
        <f t="shared" si="71"/>
        <v>0.37965260545905705</v>
      </c>
      <c r="N47" s="176">
        <f t="shared" si="72"/>
        <v>8.200496277915633</v>
      </c>
      <c r="O47" s="176">
        <f t="shared" si="53"/>
        <v>1.3440000000000001</v>
      </c>
      <c r="P47" s="221">
        <f t="shared" si="73"/>
        <v>0.51253101736972706</v>
      </c>
      <c r="Q47" s="221">
        <f t="shared" si="74"/>
        <v>16</v>
      </c>
      <c r="R47" s="221">
        <f t="shared" si="75"/>
        <v>0.56947890818858549</v>
      </c>
      <c r="S47" s="176">
        <f t="shared" si="76"/>
        <v>230.51315801329289</v>
      </c>
      <c r="T47" s="176">
        <f t="shared" si="77"/>
        <v>16</v>
      </c>
      <c r="U47" s="221">
        <f t="shared" si="78"/>
        <v>0.24583877995642706</v>
      </c>
      <c r="V47" s="221">
        <f t="shared" si="79"/>
        <v>0.23047385620915037</v>
      </c>
      <c r="W47" s="221">
        <f t="shared" si="80"/>
        <v>0.37659126831560519</v>
      </c>
      <c r="X47" s="201">
        <f t="shared" si="81"/>
        <v>350</v>
      </c>
      <c r="Y47" s="451">
        <f t="shared" si="54"/>
        <v>350</v>
      </c>
      <c r="AA47" s="221">
        <f t="shared" si="82"/>
        <v>1.1570365118752215</v>
      </c>
      <c r="AB47" s="177">
        <f t="shared" si="83"/>
        <v>1.7724211272598367</v>
      </c>
      <c r="AC47" s="177">
        <f t="shared" si="84"/>
        <v>0.4306587513183206</v>
      </c>
      <c r="AD47" s="177"/>
      <c r="AE47" s="177">
        <f t="shared" si="85"/>
        <v>0.4595588235294118</v>
      </c>
      <c r="AF47" s="555">
        <f t="shared" si="86"/>
        <v>1015.4666666666668</v>
      </c>
      <c r="AG47" s="538">
        <f t="shared" si="87"/>
        <v>2.8952205882352939E-2</v>
      </c>
      <c r="AI47" s="177">
        <f t="shared" si="88"/>
        <v>0.53864026337931081</v>
      </c>
      <c r="AJ47" s="177">
        <f t="shared" si="89"/>
        <v>0.53864026337931081</v>
      </c>
      <c r="AK47" s="177">
        <f t="shared" si="90"/>
        <v>1.3590935089195404</v>
      </c>
      <c r="AM47" s="555">
        <f t="shared" si="91"/>
        <v>84</v>
      </c>
      <c r="AN47" s="469">
        <f t="shared" si="92"/>
        <v>350</v>
      </c>
      <c r="AP47">
        <f t="shared" si="93"/>
        <v>84</v>
      </c>
      <c r="AQ47" s="469">
        <f t="shared" si="94"/>
        <v>350</v>
      </c>
      <c r="AR47" s="469"/>
      <c r="AS47" s="5">
        <f t="shared" si="55"/>
        <v>2.8571428571428572</v>
      </c>
      <c r="AT47" s="5">
        <f t="shared" si="95"/>
        <v>0.50497524691810391</v>
      </c>
      <c r="AU47" s="5">
        <f t="shared" si="56"/>
        <v>2.3521676102247531</v>
      </c>
      <c r="AV47" s="5">
        <f t="shared" si="96"/>
        <v>0.825122952480562</v>
      </c>
      <c r="AW47" s="177">
        <f t="shared" si="57"/>
        <v>0.17674133642133635</v>
      </c>
      <c r="AX47" s="177">
        <f t="shared" si="97"/>
        <v>1.5231999999999999</v>
      </c>
      <c r="AY47" s="177">
        <f t="shared" si="98"/>
        <v>0.26606415802758648</v>
      </c>
      <c r="AZ47" s="177">
        <f t="shared" si="58"/>
        <v>5.7249349603942861</v>
      </c>
      <c r="BA47" s="469">
        <f t="shared" si="99"/>
        <v>6.273549245269658</v>
      </c>
      <c r="BB47" s="469">
        <f t="shared" si="100"/>
        <v>0.47921495999999997</v>
      </c>
      <c r="BC47" s="5">
        <f t="shared" si="101"/>
        <v>6.8604888631555297E-2</v>
      </c>
      <c r="BD47" s="469">
        <f t="shared" si="102"/>
        <v>11.116782181048848</v>
      </c>
      <c r="BE47" s="5"/>
      <c r="BF47" s="177">
        <f t="shared" si="59"/>
        <v>0.13073963065792304</v>
      </c>
      <c r="BG47" s="177">
        <f t="shared" si="103"/>
        <v>0.33860049398165232</v>
      </c>
      <c r="BH47" s="177"/>
      <c r="BI47" s="538">
        <f t="shared" si="104"/>
        <v>5.9824978585995454E-3</v>
      </c>
      <c r="BJ47" s="538">
        <f t="shared" si="105"/>
        <v>4.8624133855777144E-2</v>
      </c>
      <c r="BK47" s="538">
        <f t="shared" si="106"/>
        <v>4.3749999999999995E-3</v>
      </c>
      <c r="BL47" s="538">
        <f t="shared" si="107"/>
        <v>4.6565908480000008E-2</v>
      </c>
      <c r="BM47">
        <f t="shared" si="108"/>
        <v>9.2800000000000001E-3</v>
      </c>
      <c r="BN47">
        <f t="shared" si="109"/>
        <v>2.3625000000000002E-5</v>
      </c>
      <c r="BO47" s="538">
        <f t="shared" si="110"/>
        <v>0.11578660428448603</v>
      </c>
      <c r="BP47" s="469">
        <f t="shared" si="60"/>
        <v>115.78660428448603</v>
      </c>
      <c r="BQ47" s="538">
        <f t="shared" si="111"/>
        <v>7.5884412508404456E-2</v>
      </c>
      <c r="BR47" s="538"/>
      <c r="BT47" s="469">
        <f t="shared" si="61"/>
        <v>75.884412508404452</v>
      </c>
      <c r="BU47" s="538">
        <f t="shared" si="112"/>
        <v>1.709285102457013E-3</v>
      </c>
      <c r="BV47" s="538">
        <f t="shared" si="113"/>
        <v>3.439508835738569E-3</v>
      </c>
      <c r="BW47" s="538">
        <f t="shared" si="114"/>
        <v>0</v>
      </c>
      <c r="BX47" s="538">
        <f t="shared" si="115"/>
        <v>5.7690254926579237E-3</v>
      </c>
      <c r="BY47" s="538">
        <f t="shared" si="116"/>
        <v>5.077333333333333E-3</v>
      </c>
      <c r="BZ47" s="469">
        <f t="shared" si="62"/>
        <v>10.846358825991256</v>
      </c>
      <c r="CA47" s="177">
        <f t="shared" si="63"/>
        <v>0.20251737561888175</v>
      </c>
      <c r="CB47" s="5">
        <f t="shared" si="64"/>
        <v>1.3440000000000001</v>
      </c>
      <c r="CC47" s="177">
        <f t="shared" si="65"/>
        <v>0.86904940169984257</v>
      </c>
      <c r="CD47" s="5">
        <f t="shared" si="66"/>
        <v>86.904940169984258</v>
      </c>
      <c r="CG47" s="571">
        <f t="shared" si="117"/>
        <v>-50</v>
      </c>
      <c r="CH47">
        <f t="shared" si="118"/>
        <v>-50</v>
      </c>
    </row>
    <row r="48" spans="5:86" x14ac:dyDescent="0.25">
      <c r="E48" s="174">
        <v>43</v>
      </c>
      <c r="F48" s="221">
        <f t="shared" si="119"/>
        <v>8.6000000000000007E-2</v>
      </c>
      <c r="G48" s="221"/>
      <c r="H48" s="221">
        <f t="shared" si="67"/>
        <v>1.3760000000000001</v>
      </c>
      <c r="I48" s="551">
        <f t="shared" si="68"/>
        <v>32</v>
      </c>
      <c r="J48" s="176">
        <f t="shared" si="69"/>
        <v>19.584</v>
      </c>
      <c r="K48" s="451">
        <f t="shared" si="70"/>
        <v>51.584000000000003</v>
      </c>
      <c r="L48" s="451"/>
      <c r="M48" s="221">
        <f t="shared" si="71"/>
        <v>0.37965260545905705</v>
      </c>
      <c r="N48" s="176">
        <f t="shared" si="72"/>
        <v>8.200496277915633</v>
      </c>
      <c r="O48" s="176">
        <f t="shared" si="53"/>
        <v>1.3760000000000001</v>
      </c>
      <c r="P48" s="221">
        <f t="shared" si="73"/>
        <v>0.51253101736972706</v>
      </c>
      <c r="Q48" s="221">
        <f t="shared" si="74"/>
        <v>16</v>
      </c>
      <c r="R48" s="221">
        <f t="shared" si="75"/>
        <v>0.56947890818858549</v>
      </c>
      <c r="S48" s="176">
        <f t="shared" si="76"/>
        <v>224.53407457003911</v>
      </c>
      <c r="T48" s="176">
        <f t="shared" si="77"/>
        <v>16</v>
      </c>
      <c r="U48" s="221">
        <f t="shared" si="78"/>
        <v>0.2516920842411039</v>
      </c>
      <c r="V48" s="221">
        <f t="shared" si="79"/>
        <v>0.23596132897603489</v>
      </c>
      <c r="W48" s="221">
        <f t="shared" si="80"/>
        <v>0.38555772708502434</v>
      </c>
      <c r="X48" s="201">
        <f t="shared" si="81"/>
        <v>350</v>
      </c>
      <c r="Y48" s="451">
        <f t="shared" si="54"/>
        <v>350</v>
      </c>
      <c r="AA48" s="221">
        <f t="shared" si="82"/>
        <v>1.1570365118752215</v>
      </c>
      <c r="AB48" s="177">
        <f t="shared" si="83"/>
        <v>1.7724211272598367</v>
      </c>
      <c r="AC48" s="177">
        <f t="shared" si="84"/>
        <v>0.4306587513183206</v>
      </c>
      <c r="AD48" s="177"/>
      <c r="AE48" s="177">
        <f t="shared" si="85"/>
        <v>0.4595588235294118</v>
      </c>
      <c r="AF48" s="555">
        <f t="shared" si="86"/>
        <v>1039.6444444444446</v>
      </c>
      <c r="AG48" s="538">
        <f t="shared" si="87"/>
        <v>2.8952205882352939E-2</v>
      </c>
      <c r="AI48" s="177">
        <f t="shared" si="88"/>
        <v>0.5450149262554832</v>
      </c>
      <c r="AJ48" s="177">
        <f t="shared" si="89"/>
        <v>0.5450149262554832</v>
      </c>
      <c r="AK48" s="177">
        <f t="shared" si="90"/>
        <v>1.3633432841703221</v>
      </c>
      <c r="AM48" s="555">
        <f t="shared" si="91"/>
        <v>86</v>
      </c>
      <c r="AN48" s="469">
        <f t="shared" si="92"/>
        <v>350</v>
      </c>
      <c r="AP48">
        <f t="shared" si="93"/>
        <v>86</v>
      </c>
      <c r="AQ48" s="469">
        <f t="shared" si="94"/>
        <v>350</v>
      </c>
      <c r="AR48" s="469"/>
      <c r="AS48" s="5">
        <f t="shared" si="55"/>
        <v>2.8571428571428572</v>
      </c>
      <c r="AT48" s="5">
        <f t="shared" si="95"/>
        <v>0.51095149336451551</v>
      </c>
      <c r="AU48" s="5">
        <f t="shared" si="56"/>
        <v>2.3461913637783418</v>
      </c>
      <c r="AV48" s="5">
        <f t="shared" si="96"/>
        <v>0.83488806105312996</v>
      </c>
      <c r="AW48" s="177">
        <f t="shared" si="57"/>
        <v>0.17883302267758042</v>
      </c>
      <c r="AX48" s="177">
        <f t="shared" si="97"/>
        <v>1.5594666666666663</v>
      </c>
      <c r="AY48" s="177">
        <f t="shared" si="98"/>
        <v>0.26852895575328994</v>
      </c>
      <c r="AZ48" s="177">
        <f t="shared" si="58"/>
        <v>5.8074432319299714</v>
      </c>
      <c r="BA48" s="469">
        <f t="shared" si="99"/>
        <v>6.273549245269658</v>
      </c>
      <c r="BB48" s="469">
        <f t="shared" si="100"/>
        <v>0.49616352666666663</v>
      </c>
      <c r="BC48" s="5">
        <f t="shared" si="101"/>
        <v>7.0059881001714369E-2</v>
      </c>
      <c r="BD48" s="469">
        <f t="shared" si="102"/>
        <v>11.352914293607633</v>
      </c>
      <c r="BE48" s="5"/>
      <c r="BF48" s="177">
        <f t="shared" si="59"/>
        <v>0.13306738662008943</v>
      </c>
      <c r="BG48" s="177">
        <f t="shared" si="103"/>
        <v>0.34217222449210133</v>
      </c>
      <c r="BH48" s="177"/>
      <c r="BI48" s="538">
        <f t="shared" si="104"/>
        <v>6.1974252836651238E-3</v>
      </c>
      <c r="BJ48" s="538">
        <f t="shared" si="105"/>
        <v>4.9199587422934989E-2</v>
      </c>
      <c r="BK48" s="538">
        <f t="shared" si="106"/>
        <v>4.3749999999999995E-3</v>
      </c>
      <c r="BL48" s="538">
        <f t="shared" si="107"/>
        <v>4.6565908480000008E-2</v>
      </c>
      <c r="BM48">
        <f t="shared" si="108"/>
        <v>9.2800000000000001E-3</v>
      </c>
      <c r="BN48">
        <f t="shared" si="109"/>
        <v>2.3625000000000002E-5</v>
      </c>
      <c r="BO48" s="538">
        <f t="shared" si="110"/>
        <v>0.11661153514036228</v>
      </c>
      <c r="BP48" s="469">
        <f t="shared" si="60"/>
        <v>116.61153514036228</v>
      </c>
      <c r="BQ48" s="538">
        <f t="shared" si="111"/>
        <v>7.7577259523699496E-2</v>
      </c>
      <c r="BR48" s="538"/>
      <c r="BT48" s="469">
        <f t="shared" si="61"/>
        <v>77.577259523699496</v>
      </c>
      <c r="BU48" s="538">
        <f t="shared" si="112"/>
        <v>1.7706929381900356E-3</v>
      </c>
      <c r="BV48" s="538">
        <f t="shared" si="113"/>
        <v>3.5124549364161893E-3</v>
      </c>
      <c r="BW48" s="538">
        <f t="shared" si="114"/>
        <v>0</v>
      </c>
      <c r="BX48" s="538">
        <f t="shared" si="115"/>
        <v>5.9196275609803527E-3</v>
      </c>
      <c r="BY48" s="538">
        <f t="shared" si="116"/>
        <v>5.1982222222222213E-3</v>
      </c>
      <c r="BZ48" s="469">
        <f t="shared" si="62"/>
        <v>11.117849783202574</v>
      </c>
      <c r="CA48" s="177">
        <f t="shared" si="63"/>
        <v>0.20530664444726435</v>
      </c>
      <c r="CB48" s="5">
        <f t="shared" si="64"/>
        <v>1.3760000000000001</v>
      </c>
      <c r="CC48" s="177">
        <f t="shared" si="65"/>
        <v>0.87016645685503458</v>
      </c>
      <c r="CD48" s="5">
        <f t="shared" si="66"/>
        <v>87.016645685503462</v>
      </c>
      <c r="CG48" s="571">
        <f t="shared" si="117"/>
        <v>-50</v>
      </c>
      <c r="CH48">
        <f t="shared" si="118"/>
        <v>-50</v>
      </c>
    </row>
    <row r="49" spans="5:86" x14ac:dyDescent="0.25">
      <c r="E49" s="174">
        <v>44</v>
      </c>
      <c r="F49" s="221">
        <f t="shared" si="119"/>
        <v>8.8000000000000009E-2</v>
      </c>
      <c r="G49" s="221"/>
      <c r="H49" s="221">
        <f t="shared" si="67"/>
        <v>1.4080000000000001</v>
      </c>
      <c r="I49" s="551">
        <f t="shared" si="68"/>
        <v>32</v>
      </c>
      <c r="J49" s="176">
        <f t="shared" si="69"/>
        <v>19.584</v>
      </c>
      <c r="K49" s="451">
        <f t="shared" si="70"/>
        <v>51.584000000000003</v>
      </c>
      <c r="L49" s="451"/>
      <c r="M49" s="221">
        <f t="shared" si="71"/>
        <v>0.37965260545905705</v>
      </c>
      <c r="N49" s="176">
        <f t="shared" si="72"/>
        <v>8.200496277915633</v>
      </c>
      <c r="O49" s="176">
        <f t="shared" si="53"/>
        <v>1.4080000000000001</v>
      </c>
      <c r="P49" s="221">
        <f t="shared" si="73"/>
        <v>0.51253101736972706</v>
      </c>
      <c r="Q49" s="221">
        <f t="shared" si="74"/>
        <v>16</v>
      </c>
      <c r="R49" s="221">
        <f t="shared" si="75"/>
        <v>0.56947890818858549</v>
      </c>
      <c r="S49" s="176">
        <f t="shared" si="76"/>
        <v>218.82681767562465</v>
      </c>
      <c r="T49" s="176">
        <f t="shared" si="77"/>
        <v>16</v>
      </c>
      <c r="U49" s="221">
        <f t="shared" si="78"/>
        <v>0.25754538852578074</v>
      </c>
      <c r="V49" s="221">
        <f t="shared" si="79"/>
        <v>0.24144880174291944</v>
      </c>
      <c r="W49" s="221">
        <f t="shared" si="80"/>
        <v>0.39452418585444354</v>
      </c>
      <c r="X49" s="201">
        <f t="shared" si="81"/>
        <v>350</v>
      </c>
      <c r="Y49" s="451">
        <f t="shared" si="54"/>
        <v>350</v>
      </c>
      <c r="AA49" s="221">
        <f t="shared" si="82"/>
        <v>1.1570365118752215</v>
      </c>
      <c r="AB49" s="177">
        <f t="shared" si="83"/>
        <v>1.7724211272598367</v>
      </c>
      <c r="AC49" s="177">
        <f t="shared" si="84"/>
        <v>0.4306587513183206</v>
      </c>
      <c r="AD49" s="177"/>
      <c r="AE49" s="177">
        <f t="shared" si="85"/>
        <v>0.4595588235294118</v>
      </c>
      <c r="AF49" s="555">
        <f t="shared" si="86"/>
        <v>1063.8222222222225</v>
      </c>
      <c r="AG49" s="538">
        <f t="shared" si="87"/>
        <v>2.8952205882352939E-2</v>
      </c>
      <c r="AI49" s="177">
        <f t="shared" si="88"/>
        <v>0.55131588617525462</v>
      </c>
      <c r="AJ49" s="177">
        <f t="shared" si="89"/>
        <v>0.55131588617525462</v>
      </c>
      <c r="AK49" s="177">
        <f t="shared" si="90"/>
        <v>1.3675439241168363</v>
      </c>
      <c r="AM49" s="555">
        <f t="shared" si="91"/>
        <v>88.000000000000014</v>
      </c>
      <c r="AN49" s="469">
        <f t="shared" si="92"/>
        <v>350</v>
      </c>
      <c r="AP49">
        <f t="shared" si="93"/>
        <v>88.000000000000014</v>
      </c>
      <c r="AQ49" s="469">
        <f t="shared" si="94"/>
        <v>350</v>
      </c>
      <c r="AR49" s="469"/>
      <c r="AS49" s="5">
        <f t="shared" si="55"/>
        <v>2.8571428571428572</v>
      </c>
      <c r="AT49" s="5">
        <f t="shared" si="95"/>
        <v>0.5168586432893012</v>
      </c>
      <c r="AU49" s="5">
        <f t="shared" si="56"/>
        <v>2.3402842138535558</v>
      </c>
      <c r="AV49" s="5">
        <f t="shared" si="96"/>
        <v>0.84454026681258376</v>
      </c>
      <c r="AW49" s="177">
        <f t="shared" si="57"/>
        <v>0.1809005251512554</v>
      </c>
      <c r="AX49" s="177">
        <f t="shared" si="97"/>
        <v>1.595733333333333</v>
      </c>
      <c r="AY49" s="177">
        <f t="shared" si="98"/>
        <v>0.27094953170515274</v>
      </c>
      <c r="AZ49" s="177">
        <f t="shared" si="58"/>
        <v>5.8894116675197283</v>
      </c>
      <c r="BA49" s="469">
        <f t="shared" si="99"/>
        <v>6.273549245269658</v>
      </c>
      <c r="BB49" s="469">
        <f t="shared" si="100"/>
        <v>0.5133697066666667</v>
      </c>
      <c r="BC49" s="5">
        <f t="shared" si="101"/>
        <v>7.1508684312191984E-2</v>
      </c>
      <c r="BD49" s="469">
        <f t="shared" si="102"/>
        <v>11.588056156617386</v>
      </c>
      <c r="BE49" s="5"/>
      <c r="BF49" s="177">
        <f t="shared" si="59"/>
        <v>0.13538164701795036</v>
      </c>
      <c r="BG49" s="177">
        <f t="shared" si="103"/>
        <v>0.3456920955773175</v>
      </c>
      <c r="BH49" s="177"/>
      <c r="BI49" s="538">
        <f t="shared" si="104"/>
        <v>6.4148666222525177E-3</v>
      </c>
      <c r="BJ49" s="538">
        <f t="shared" si="105"/>
        <v>4.9768387676812589E-2</v>
      </c>
      <c r="BK49" s="538">
        <f t="shared" si="106"/>
        <v>4.3749999999999995E-3</v>
      </c>
      <c r="BL49" s="538">
        <f t="shared" si="107"/>
        <v>4.6565908480000008E-2</v>
      </c>
      <c r="BM49">
        <f t="shared" si="108"/>
        <v>9.2800000000000001E-3</v>
      </c>
      <c r="BN49">
        <f t="shared" si="109"/>
        <v>2.3625000000000002E-5</v>
      </c>
      <c r="BO49" s="538">
        <f t="shared" si="110"/>
        <v>0.11743278150688663</v>
      </c>
      <c r="BP49" s="469">
        <f t="shared" si="60"/>
        <v>117.43278150688663</v>
      </c>
      <c r="BQ49" s="538">
        <f t="shared" si="111"/>
        <v>7.9266155528851426E-2</v>
      </c>
      <c r="BR49" s="538"/>
      <c r="BT49" s="469">
        <f t="shared" si="61"/>
        <v>79.266155528851428</v>
      </c>
      <c r="BU49" s="538">
        <f t="shared" si="112"/>
        <v>1.8328190349292909E-3</v>
      </c>
      <c r="BV49" s="538">
        <f t="shared" si="113"/>
        <v>3.5850907483391163E-3</v>
      </c>
      <c r="BW49" s="538">
        <f t="shared" si="114"/>
        <v>0</v>
      </c>
      <c r="BX49" s="538">
        <f t="shared" si="115"/>
        <v>6.0706901934038191E-3</v>
      </c>
      <c r="BY49" s="538">
        <f t="shared" si="116"/>
        <v>5.3191111111111113E-3</v>
      </c>
      <c r="BZ49" s="469">
        <f t="shared" si="62"/>
        <v>11.389801304514931</v>
      </c>
      <c r="CA49" s="177">
        <f t="shared" si="63"/>
        <v>0.20808873834025296</v>
      </c>
      <c r="CB49" s="5">
        <f t="shared" si="64"/>
        <v>1.4080000000000001</v>
      </c>
      <c r="CC49" s="177">
        <f t="shared" si="65"/>
        <v>0.87123928692556629</v>
      </c>
      <c r="CD49" s="5">
        <f t="shared" si="66"/>
        <v>87.123928692556632</v>
      </c>
      <c r="CG49" s="571">
        <f t="shared" si="117"/>
        <v>-50</v>
      </c>
      <c r="CH49">
        <f t="shared" si="118"/>
        <v>-50</v>
      </c>
    </row>
    <row r="50" spans="5:86" x14ac:dyDescent="0.25">
      <c r="E50" s="174">
        <v>45</v>
      </c>
      <c r="F50" s="221">
        <f t="shared" si="119"/>
        <v>9.0000000000000011E-2</v>
      </c>
      <c r="G50" s="221"/>
      <c r="H50" s="221">
        <f t="shared" si="67"/>
        <v>1.4400000000000002</v>
      </c>
      <c r="I50" s="551">
        <f t="shared" si="68"/>
        <v>32</v>
      </c>
      <c r="J50" s="176">
        <f t="shared" si="69"/>
        <v>19.584</v>
      </c>
      <c r="K50" s="451">
        <f t="shared" si="70"/>
        <v>51.584000000000003</v>
      </c>
      <c r="L50" s="451"/>
      <c r="M50" s="221">
        <f t="shared" si="71"/>
        <v>0.37965260545905705</v>
      </c>
      <c r="N50" s="176">
        <f t="shared" si="72"/>
        <v>8.200496277915633</v>
      </c>
      <c r="O50" s="176">
        <f t="shared" si="53"/>
        <v>1.4400000000000002</v>
      </c>
      <c r="P50" s="221">
        <f t="shared" si="73"/>
        <v>0.51253101736972706</v>
      </c>
      <c r="Q50" s="221">
        <f t="shared" si="74"/>
        <v>16</v>
      </c>
      <c r="R50" s="221">
        <f t="shared" si="75"/>
        <v>0.56947890818858549</v>
      </c>
      <c r="S50" s="176">
        <f t="shared" si="76"/>
        <v>213.37326595963771</v>
      </c>
      <c r="T50" s="176">
        <f t="shared" si="77"/>
        <v>16</v>
      </c>
      <c r="U50" s="221">
        <f t="shared" si="78"/>
        <v>0.26339869281045758</v>
      </c>
      <c r="V50" s="221">
        <f t="shared" si="79"/>
        <v>0.24693627450980399</v>
      </c>
      <c r="W50" s="221">
        <f t="shared" si="80"/>
        <v>0.40349064462386269</v>
      </c>
      <c r="X50" s="201">
        <f t="shared" si="81"/>
        <v>350</v>
      </c>
      <c r="Y50" s="451">
        <f t="shared" si="54"/>
        <v>350</v>
      </c>
      <c r="AA50" s="221">
        <f t="shared" si="82"/>
        <v>1.1570365118752215</v>
      </c>
      <c r="AB50" s="177">
        <f t="shared" si="83"/>
        <v>1.7724211272598367</v>
      </c>
      <c r="AC50" s="177">
        <f t="shared" si="84"/>
        <v>0.4306587513183206</v>
      </c>
      <c r="AD50" s="177"/>
      <c r="AE50" s="177">
        <f t="shared" si="85"/>
        <v>0.4595588235294118</v>
      </c>
      <c r="AF50" s="555">
        <f t="shared" si="86"/>
        <v>1088.0000000000002</v>
      </c>
      <c r="AG50" s="538">
        <f t="shared" si="87"/>
        <v>2.8952205882352939E-2</v>
      </c>
      <c r="AI50" s="177">
        <f t="shared" si="88"/>
        <v>0.55754564194973566</v>
      </c>
      <c r="AJ50" s="177">
        <f t="shared" si="89"/>
        <v>0.55754564194973566</v>
      </c>
      <c r="AK50" s="177">
        <f t="shared" si="90"/>
        <v>1.371697094633157</v>
      </c>
      <c r="AM50" s="555">
        <f t="shared" si="91"/>
        <v>90.000000000000014</v>
      </c>
      <c r="AN50" s="469">
        <f t="shared" si="92"/>
        <v>350</v>
      </c>
      <c r="AP50">
        <f t="shared" si="93"/>
        <v>90.000000000000014</v>
      </c>
      <c r="AQ50" s="469">
        <f t="shared" si="94"/>
        <v>350</v>
      </c>
      <c r="AR50" s="469"/>
      <c r="AS50" s="5">
        <f t="shared" si="55"/>
        <v>2.8571428571428572</v>
      </c>
      <c r="AT50" s="5">
        <f t="shared" si="95"/>
        <v>0.5226990393278772</v>
      </c>
      <c r="AU50" s="5">
        <f t="shared" si="56"/>
        <v>2.33444381781498</v>
      </c>
      <c r="AV50" s="5">
        <f t="shared" si="96"/>
        <v>0.85408339759457064</v>
      </c>
      <c r="AW50" s="177">
        <f t="shared" si="57"/>
        <v>0.18294466376475702</v>
      </c>
      <c r="AX50" s="177">
        <f t="shared" si="97"/>
        <v>1.6319999999999999</v>
      </c>
      <c r="AY50" s="177">
        <f t="shared" si="98"/>
        <v>0.2733273851698414</v>
      </c>
      <c r="AZ50" s="177">
        <f t="shared" si="58"/>
        <v>5.970861642663067</v>
      </c>
      <c r="BA50" s="469">
        <f t="shared" si="99"/>
        <v>6.273549245269658</v>
      </c>
      <c r="BB50" s="469">
        <f t="shared" si="100"/>
        <v>0.53083349999999996</v>
      </c>
      <c r="BC50" s="5">
        <f t="shared" si="101"/>
        <v>7.2951369306718125E-2</v>
      </c>
      <c r="BD50" s="469">
        <f t="shared" si="102"/>
        <v>11.822219089074903</v>
      </c>
      <c r="BE50" s="5"/>
      <c r="BF50" s="177">
        <f t="shared" si="59"/>
        <v>0.13768279422749602</v>
      </c>
      <c r="BG50" s="177">
        <f t="shared" si="103"/>
        <v>0.34916184491088009</v>
      </c>
      <c r="BH50" s="177"/>
      <c r="BI50" s="538">
        <f t="shared" si="104"/>
        <v>6.6347931392018531E-3</v>
      </c>
      <c r="BJ50" s="538">
        <f t="shared" si="105"/>
        <v>5.0330760190086546E-2</v>
      </c>
      <c r="BK50" s="538">
        <f t="shared" si="106"/>
        <v>4.3749999999999995E-3</v>
      </c>
      <c r="BL50" s="538">
        <f t="shared" si="107"/>
        <v>4.6565908480000008E-2</v>
      </c>
      <c r="BM50">
        <f t="shared" si="108"/>
        <v>9.2800000000000001E-3</v>
      </c>
      <c r="BN50">
        <f t="shared" si="109"/>
        <v>2.3625000000000002E-5</v>
      </c>
      <c r="BO50" s="538">
        <f t="shared" si="110"/>
        <v>0.11825053665127297</v>
      </c>
      <c r="BP50" s="469">
        <f t="shared" si="60"/>
        <v>118.25053665127297</v>
      </c>
      <c r="BQ50" s="538">
        <f t="shared" si="111"/>
        <v>8.0951145685679543E-2</v>
      </c>
      <c r="BR50" s="538"/>
      <c r="BT50" s="469">
        <f t="shared" si="61"/>
        <v>80.951145685679549</v>
      </c>
      <c r="BU50" s="538">
        <f t="shared" si="112"/>
        <v>1.8956551826291011E-3</v>
      </c>
      <c r="BV50" s="538">
        <f t="shared" si="113"/>
        <v>3.6574198182470845E-3</v>
      </c>
      <c r="BW50" s="538">
        <f t="shared" si="114"/>
        <v>0</v>
      </c>
      <c r="BX50" s="538">
        <f t="shared" si="115"/>
        <v>6.2222081920822641E-3</v>
      </c>
      <c r="BY50" s="538">
        <f t="shared" si="116"/>
        <v>5.4399999999999995E-3</v>
      </c>
      <c r="BZ50" s="469">
        <f t="shared" si="62"/>
        <v>11.662208192082264</v>
      </c>
      <c r="CA50" s="177">
        <f t="shared" si="63"/>
        <v>0.21086389052903479</v>
      </c>
      <c r="CB50" s="5">
        <f t="shared" si="64"/>
        <v>1.4400000000000002</v>
      </c>
      <c r="CC50" s="177">
        <f t="shared" si="65"/>
        <v>0.87227057800539731</v>
      </c>
      <c r="CD50" s="5">
        <f t="shared" si="66"/>
        <v>87.227057800539725</v>
      </c>
      <c r="CG50" s="571">
        <f t="shared" si="117"/>
        <v>-50</v>
      </c>
      <c r="CH50">
        <f t="shared" si="118"/>
        <v>-50</v>
      </c>
    </row>
    <row r="51" spans="5:86" x14ac:dyDescent="0.25">
      <c r="E51" s="174">
        <v>46</v>
      </c>
      <c r="F51" s="221">
        <f t="shared" si="119"/>
        <v>9.2000000000000012E-2</v>
      </c>
      <c r="G51" s="221"/>
      <c r="H51" s="221">
        <f t="shared" si="67"/>
        <v>1.4720000000000002</v>
      </c>
      <c r="I51" s="551">
        <f t="shared" si="68"/>
        <v>32</v>
      </c>
      <c r="J51" s="176">
        <f t="shared" si="69"/>
        <v>19.584</v>
      </c>
      <c r="K51" s="451">
        <f t="shared" si="70"/>
        <v>51.584000000000003</v>
      </c>
      <c r="L51" s="451"/>
      <c r="M51" s="221">
        <f t="shared" si="71"/>
        <v>0.37965260545905705</v>
      </c>
      <c r="N51" s="176">
        <f t="shared" si="72"/>
        <v>8.200496277915633</v>
      </c>
      <c r="O51" s="176">
        <f t="shared" si="53"/>
        <v>1.4720000000000002</v>
      </c>
      <c r="P51" s="221">
        <f t="shared" si="73"/>
        <v>0.51253101736972706</v>
      </c>
      <c r="Q51" s="221">
        <f t="shared" si="74"/>
        <v>16</v>
      </c>
      <c r="R51" s="221">
        <f t="shared" si="75"/>
        <v>0.56947890818858549</v>
      </c>
      <c r="S51" s="176">
        <f t="shared" si="76"/>
        <v>208.15687382720694</v>
      </c>
      <c r="T51" s="176">
        <f t="shared" si="77"/>
        <v>16</v>
      </c>
      <c r="U51" s="221">
        <f t="shared" si="78"/>
        <v>0.26925199709513442</v>
      </c>
      <c r="V51" s="221">
        <f t="shared" si="79"/>
        <v>0.25242374727668854</v>
      </c>
      <c r="W51" s="221">
        <f t="shared" si="80"/>
        <v>0.4124571033932819</v>
      </c>
      <c r="X51" s="201">
        <f t="shared" si="81"/>
        <v>350</v>
      </c>
      <c r="Y51" s="451">
        <f t="shared" si="54"/>
        <v>350</v>
      </c>
      <c r="AA51" s="221">
        <f t="shared" si="82"/>
        <v>1.1570365118752215</v>
      </c>
      <c r="AB51" s="177">
        <f t="shared" si="83"/>
        <v>1.7724211272598367</v>
      </c>
      <c r="AC51" s="177">
        <f t="shared" si="84"/>
        <v>0.4306587513183206</v>
      </c>
      <c r="AD51" s="177"/>
      <c r="AE51" s="177">
        <f t="shared" si="85"/>
        <v>0.4595588235294118</v>
      </c>
      <c r="AF51" s="555">
        <f t="shared" si="86"/>
        <v>1112.1777777777779</v>
      </c>
      <c r="AG51" s="538">
        <f t="shared" si="87"/>
        <v>2.8952205882352939E-2</v>
      </c>
      <c r="AI51" s="177">
        <f t="shared" si="88"/>
        <v>0.56370655430381444</v>
      </c>
      <c r="AJ51" s="177">
        <f t="shared" si="89"/>
        <v>0.56370655430381444</v>
      </c>
      <c r="AK51" s="177">
        <f t="shared" si="90"/>
        <v>1.3758043695358761</v>
      </c>
      <c r="AM51" s="555">
        <f t="shared" si="91"/>
        <v>92.000000000000014</v>
      </c>
      <c r="AN51" s="469">
        <f t="shared" si="92"/>
        <v>350</v>
      </c>
      <c r="AP51">
        <f t="shared" si="93"/>
        <v>92.000000000000014</v>
      </c>
      <c r="AQ51" s="469">
        <f t="shared" si="94"/>
        <v>350</v>
      </c>
      <c r="AR51" s="469"/>
      <c r="AS51" s="5">
        <f t="shared" si="55"/>
        <v>2.8571428571428572</v>
      </c>
      <c r="AT51" s="5">
        <f t="shared" si="95"/>
        <v>0.528474894659826</v>
      </c>
      <c r="AU51" s="5">
        <f t="shared" si="56"/>
        <v>2.3286679624830313</v>
      </c>
      <c r="AV51" s="5">
        <f t="shared" si="96"/>
        <v>0.86352106970559805</v>
      </c>
      <c r="AW51" s="177">
        <f t="shared" si="57"/>
        <v>0.18496621313093908</v>
      </c>
      <c r="AX51" s="177">
        <f t="shared" si="97"/>
        <v>1.6682666666666663</v>
      </c>
      <c r="AY51" s="177">
        <f t="shared" si="98"/>
        <v>0.27566393258228866</v>
      </c>
      <c r="AZ51" s="177">
        <f t="shared" si="58"/>
        <v>6.0518133476481211</v>
      </c>
      <c r="BA51" s="469">
        <f t="shared" si="99"/>
        <v>6.273549245269658</v>
      </c>
      <c r="BB51" s="469">
        <f t="shared" si="100"/>
        <v>0.54855490666666673</v>
      </c>
      <c r="BC51" s="5">
        <f t="shared" si="101"/>
        <v>7.4388004357096832E-2</v>
      </c>
      <c r="BD51" s="469">
        <f t="shared" si="102"/>
        <v>12.055414030468828</v>
      </c>
      <c r="BE51" s="5"/>
      <c r="BF51" s="177">
        <f t="shared" si="59"/>
        <v>0.13997119155432308</v>
      </c>
      <c r="BG51" s="177">
        <f t="shared" si="103"/>
        <v>0.35258311426590005</v>
      </c>
      <c r="BH51" s="177"/>
      <c r="BI51" s="538">
        <f t="shared" si="104"/>
        <v>6.8571770627979508E-3</v>
      </c>
      <c r="BJ51" s="538">
        <f t="shared" si="105"/>
        <v>5.0886918070113946E-2</v>
      </c>
      <c r="BK51" s="538">
        <f t="shared" si="106"/>
        <v>4.3749999999999995E-3</v>
      </c>
      <c r="BL51" s="538">
        <f t="shared" si="107"/>
        <v>4.6565908480000008E-2</v>
      </c>
      <c r="BM51">
        <f t="shared" si="108"/>
        <v>9.2800000000000001E-3</v>
      </c>
      <c r="BN51">
        <f t="shared" si="109"/>
        <v>2.3625000000000002E-5</v>
      </c>
      <c r="BO51" s="538">
        <f t="shared" si="110"/>
        <v>0.11906498247992228</v>
      </c>
      <c r="BP51" s="469">
        <f t="shared" si="60"/>
        <v>119.06498247992228</v>
      </c>
      <c r="BQ51" s="538">
        <f t="shared" si="111"/>
        <v>8.2632273641798371E-2</v>
      </c>
      <c r="BR51" s="538"/>
      <c r="BT51" s="469">
        <f t="shared" si="61"/>
        <v>82.632273641798378</v>
      </c>
      <c r="BU51" s="538">
        <f t="shared" si="112"/>
        <v>1.9591934465137003E-3</v>
      </c>
      <c r="BV51" s="538">
        <f t="shared" si="113"/>
        <v>3.7294455739632216E-3</v>
      </c>
      <c r="BW51" s="538">
        <f t="shared" si="114"/>
        <v>0</v>
      </c>
      <c r="BX51" s="538">
        <f t="shared" si="115"/>
        <v>6.3741765340825677E-3</v>
      </c>
      <c r="BY51" s="538">
        <f t="shared" si="116"/>
        <v>5.5608888888888887E-3</v>
      </c>
      <c r="BZ51" s="469">
        <f t="shared" si="62"/>
        <v>11.935065422971457</v>
      </c>
      <c r="CA51" s="177">
        <f t="shared" si="63"/>
        <v>0.21363232154469211</v>
      </c>
      <c r="CB51" s="5">
        <f t="shared" si="64"/>
        <v>1.4720000000000002</v>
      </c>
      <c r="CC51" s="177">
        <f t="shared" si="65"/>
        <v>0.87326279947638752</v>
      </c>
      <c r="CD51" s="5">
        <f t="shared" si="66"/>
        <v>87.326279947638753</v>
      </c>
      <c r="CG51" s="571">
        <f t="shared" si="117"/>
        <v>-50</v>
      </c>
      <c r="CH51">
        <f t="shared" si="118"/>
        <v>-50</v>
      </c>
    </row>
    <row r="52" spans="5:86" x14ac:dyDescent="0.25">
      <c r="E52" s="174">
        <v>47</v>
      </c>
      <c r="F52" s="221">
        <f t="shared" si="119"/>
        <v>9.4E-2</v>
      </c>
      <c r="G52" s="221"/>
      <c r="H52" s="221">
        <f t="shared" si="67"/>
        <v>1.504</v>
      </c>
      <c r="I52" s="551">
        <f t="shared" si="68"/>
        <v>32</v>
      </c>
      <c r="J52" s="176">
        <f t="shared" si="69"/>
        <v>19.584</v>
      </c>
      <c r="K52" s="451">
        <f t="shared" si="70"/>
        <v>51.584000000000003</v>
      </c>
      <c r="L52" s="451"/>
      <c r="M52" s="221">
        <f t="shared" si="71"/>
        <v>0.37965260545905705</v>
      </c>
      <c r="N52" s="176">
        <f t="shared" si="72"/>
        <v>8.200496277915633</v>
      </c>
      <c r="O52" s="176">
        <f t="shared" si="53"/>
        <v>1.504</v>
      </c>
      <c r="P52" s="221">
        <f t="shared" si="73"/>
        <v>0.51253101736972706</v>
      </c>
      <c r="Q52" s="221">
        <f t="shared" si="74"/>
        <v>16</v>
      </c>
      <c r="R52" s="221">
        <f t="shared" si="75"/>
        <v>0.56947890818858549</v>
      </c>
      <c r="S52" s="176">
        <f t="shared" si="76"/>
        <v>203.16250382335988</v>
      </c>
      <c r="T52" s="176">
        <f t="shared" si="77"/>
        <v>16</v>
      </c>
      <c r="U52" s="221">
        <f t="shared" si="78"/>
        <v>0.27510530137981121</v>
      </c>
      <c r="V52" s="221">
        <f t="shared" si="79"/>
        <v>0.25791122004357303</v>
      </c>
      <c r="W52" s="221">
        <f t="shared" si="80"/>
        <v>0.42142356216270099</v>
      </c>
      <c r="X52" s="201">
        <f t="shared" si="81"/>
        <v>350</v>
      </c>
      <c r="Y52" s="451">
        <f t="shared" si="54"/>
        <v>350</v>
      </c>
      <c r="AA52" s="221">
        <f t="shared" si="82"/>
        <v>1.1570365118752215</v>
      </c>
      <c r="AB52" s="177">
        <f t="shared" si="83"/>
        <v>1.7724211272598367</v>
      </c>
      <c r="AC52" s="177">
        <f t="shared" si="84"/>
        <v>0.4306587513183206</v>
      </c>
      <c r="AD52" s="177"/>
      <c r="AE52" s="177">
        <f t="shared" si="85"/>
        <v>0.4595588235294118</v>
      </c>
      <c r="AF52" s="555">
        <f t="shared" si="86"/>
        <v>1136.3555555555558</v>
      </c>
      <c r="AG52" s="538">
        <f t="shared" si="87"/>
        <v>2.8952205882352939E-2</v>
      </c>
      <c r="AI52" s="177">
        <f t="shared" si="88"/>
        <v>0.5698008563287843</v>
      </c>
      <c r="AJ52" s="177">
        <f t="shared" si="89"/>
        <v>0.5698008563287843</v>
      </c>
      <c r="AK52" s="177">
        <f t="shared" si="90"/>
        <v>1.3798672375525229</v>
      </c>
      <c r="AM52" s="555">
        <f t="shared" si="91"/>
        <v>94</v>
      </c>
      <c r="AN52" s="469">
        <f t="shared" si="92"/>
        <v>350</v>
      </c>
      <c r="AP52">
        <f t="shared" si="93"/>
        <v>94</v>
      </c>
      <c r="AQ52" s="469">
        <f t="shared" si="94"/>
        <v>350</v>
      </c>
      <c r="AR52" s="469"/>
      <c r="AS52" s="5">
        <f t="shared" si="55"/>
        <v>2.8571428571428572</v>
      </c>
      <c r="AT52" s="5">
        <f t="shared" si="95"/>
        <v>0.53418830280823526</v>
      </c>
      <c r="AU52" s="5">
        <f t="shared" si="56"/>
        <v>2.3229545543346219</v>
      </c>
      <c r="AV52" s="5">
        <f t="shared" si="96"/>
        <v>0.8728567039350249</v>
      </c>
      <c r="AW52" s="177">
        <f t="shared" si="57"/>
        <v>0.18696590598288235</v>
      </c>
      <c r="AX52" s="177">
        <f t="shared" si="97"/>
        <v>1.7045333333333337</v>
      </c>
      <c r="AY52" s="177">
        <f t="shared" si="98"/>
        <v>0.2779605137972706</v>
      </c>
      <c r="AZ52" s="177">
        <f t="shared" si="58"/>
        <v>6.1322858777579041</v>
      </c>
      <c r="BA52" s="469">
        <f t="shared" si="99"/>
        <v>6.273549245269658</v>
      </c>
      <c r="BB52" s="469">
        <f t="shared" si="100"/>
        <v>0.56653392666666669</v>
      </c>
      <c r="BC52" s="5">
        <f t="shared" si="101"/>
        <v>7.581865559286613E-2</v>
      </c>
      <c r="BD52" s="469">
        <f t="shared" si="102"/>
        <v>12.287651561525246</v>
      </c>
      <c r="BE52" s="5"/>
      <c r="BF52" s="177">
        <f t="shared" si="59"/>
        <v>0.14224718457775437</v>
      </c>
      <c r="BG52" s="177">
        <f t="shared" si="103"/>
        <v>0.35595745676951185</v>
      </c>
      <c r="BH52" s="177"/>
      <c r="BI52" s="538">
        <f t="shared" si="104"/>
        <v>7.081991532104202E-3</v>
      </c>
      <c r="BJ52" s="538">
        <f t="shared" si="105"/>
        <v>5.1437062902512022E-2</v>
      </c>
      <c r="BK52" s="538">
        <f t="shared" si="106"/>
        <v>4.3749999999999995E-3</v>
      </c>
      <c r="BL52" s="538">
        <f t="shared" si="107"/>
        <v>4.6565908480000008E-2</v>
      </c>
      <c r="BM52">
        <f t="shared" si="108"/>
        <v>9.2800000000000001E-3</v>
      </c>
      <c r="BN52">
        <f t="shared" si="109"/>
        <v>2.3625000000000002E-5</v>
      </c>
      <c r="BO52" s="538">
        <f t="shared" si="110"/>
        <v>0.11987629042164169</v>
      </c>
      <c r="BP52" s="469">
        <f t="shared" si="60"/>
        <v>119.87629042164168</v>
      </c>
      <c r="BQ52" s="538">
        <f t="shared" si="111"/>
        <v>8.4309581613390819E-2</v>
      </c>
      <c r="BR52" s="538"/>
      <c r="BT52" s="469">
        <f t="shared" si="61"/>
        <v>84.309581613390819</v>
      </c>
      <c r="BU52" s="538">
        <f t="shared" si="112"/>
        <v>2.0234261520297721E-3</v>
      </c>
      <c r="BV52" s="538">
        <f t="shared" si="113"/>
        <v>3.8011713308945668E-3</v>
      </c>
      <c r="BW52" s="538">
        <f t="shared" si="114"/>
        <v>0</v>
      </c>
      <c r="BX52" s="538">
        <f t="shared" si="115"/>
        <v>6.5265903618187422E-3</v>
      </c>
      <c r="BY52" s="538">
        <f t="shared" si="116"/>
        <v>5.6817777777777786E-3</v>
      </c>
      <c r="BZ52" s="469">
        <f t="shared" si="62"/>
        <v>12.208368139596521</v>
      </c>
      <c r="CA52" s="177">
        <f t="shared" si="63"/>
        <v>0.21639424017462905</v>
      </c>
      <c r="CB52" s="5">
        <f t="shared" si="64"/>
        <v>1.504</v>
      </c>
      <c r="CC52" s="177">
        <f t="shared" si="65"/>
        <v>0.87421822561283169</v>
      </c>
      <c r="CD52" s="5">
        <f t="shared" si="66"/>
        <v>87.421822561283165</v>
      </c>
      <c r="CG52" s="571">
        <f t="shared" si="117"/>
        <v>-50</v>
      </c>
      <c r="CH52">
        <f t="shared" si="118"/>
        <v>-50</v>
      </c>
    </row>
    <row r="53" spans="5:86" x14ac:dyDescent="0.25">
      <c r="E53" s="174">
        <v>48</v>
      </c>
      <c r="F53" s="221">
        <f t="shared" si="119"/>
        <v>9.6000000000000002E-2</v>
      </c>
      <c r="G53" s="221"/>
      <c r="H53" s="221">
        <f t="shared" si="67"/>
        <v>1.536</v>
      </c>
      <c r="I53" s="551">
        <f t="shared" si="68"/>
        <v>32</v>
      </c>
      <c r="J53" s="176">
        <f t="shared" si="69"/>
        <v>19.584</v>
      </c>
      <c r="K53" s="451">
        <f t="shared" si="70"/>
        <v>51.584000000000003</v>
      </c>
      <c r="L53" s="451"/>
      <c r="M53" s="221">
        <f t="shared" si="71"/>
        <v>0.37965260545905705</v>
      </c>
      <c r="N53" s="176">
        <f t="shared" si="72"/>
        <v>8.200496277915633</v>
      </c>
      <c r="O53" s="176">
        <f t="shared" si="53"/>
        <v>1.536</v>
      </c>
      <c r="P53" s="221">
        <f t="shared" si="73"/>
        <v>0.51253101736972706</v>
      </c>
      <c r="Q53" s="221">
        <f t="shared" si="74"/>
        <v>16</v>
      </c>
      <c r="R53" s="221">
        <f t="shared" si="75"/>
        <v>0.56947890818858549</v>
      </c>
      <c r="S53" s="176">
        <f t="shared" si="76"/>
        <v>198.37627995183774</v>
      </c>
      <c r="T53" s="176">
        <f t="shared" si="77"/>
        <v>16</v>
      </c>
      <c r="U53" s="221">
        <f t="shared" si="78"/>
        <v>0.28095860566448805</v>
      </c>
      <c r="V53" s="221">
        <f t="shared" si="79"/>
        <v>0.26339869281045752</v>
      </c>
      <c r="W53" s="221">
        <f t="shared" si="80"/>
        <v>0.43039002093212014</v>
      </c>
      <c r="X53" s="201">
        <f t="shared" si="81"/>
        <v>350</v>
      </c>
      <c r="Y53" s="451">
        <f t="shared" si="54"/>
        <v>350</v>
      </c>
      <c r="AA53" s="221">
        <f t="shared" si="82"/>
        <v>1.1570365118752215</v>
      </c>
      <c r="AB53" s="177">
        <f t="shared" si="83"/>
        <v>1.7724211272598367</v>
      </c>
      <c r="AC53" s="177">
        <f t="shared" si="84"/>
        <v>0.4306587513183206</v>
      </c>
      <c r="AD53" s="177"/>
      <c r="AE53" s="177">
        <f t="shared" si="85"/>
        <v>0.4595588235294118</v>
      </c>
      <c r="AF53" s="555">
        <f t="shared" si="86"/>
        <v>1160.5333333333335</v>
      </c>
      <c r="AG53" s="538">
        <f t="shared" si="87"/>
        <v>2.8952205882352939E-2</v>
      </c>
      <c r="AI53" s="177">
        <f t="shared" si="88"/>
        <v>0.57583066293915985</v>
      </c>
      <c r="AJ53" s="177">
        <f t="shared" si="89"/>
        <v>0.57583066293915985</v>
      </c>
      <c r="AK53" s="177">
        <f t="shared" si="90"/>
        <v>1.3838871086261064</v>
      </c>
      <c r="AM53" s="555">
        <f t="shared" si="91"/>
        <v>96</v>
      </c>
      <c r="AN53" s="469">
        <f t="shared" si="92"/>
        <v>350</v>
      </c>
      <c r="AP53">
        <f t="shared" si="93"/>
        <v>96</v>
      </c>
      <c r="AQ53" s="469">
        <f t="shared" si="94"/>
        <v>350</v>
      </c>
      <c r="AR53" s="469"/>
      <c r="AS53" s="5">
        <f t="shared" si="55"/>
        <v>2.8571428571428572</v>
      </c>
      <c r="AT53" s="5">
        <f t="shared" si="95"/>
        <v>0.53984124650546239</v>
      </c>
      <c r="AU53" s="5">
        <f t="shared" si="56"/>
        <v>2.3173016106373949</v>
      </c>
      <c r="AV53" s="5">
        <f t="shared" si="96"/>
        <v>0.88209354004160512</v>
      </c>
      <c r="AW53" s="177">
        <f t="shared" si="57"/>
        <v>0.18894443627691182</v>
      </c>
      <c r="AX53" s="177">
        <f t="shared" si="97"/>
        <v>1.7407999999999997</v>
      </c>
      <c r="AY53" s="177">
        <f t="shared" si="98"/>
        <v>0.28021839776349589</v>
      </c>
      <c r="AZ53" s="177">
        <f t="shared" si="58"/>
        <v>6.2122973148580831</v>
      </c>
      <c r="BA53" s="469">
        <f t="shared" si="99"/>
        <v>6.273549245269658</v>
      </c>
      <c r="BB53" s="469">
        <f t="shared" si="100"/>
        <v>0.58477055999999994</v>
      </c>
      <c r="BC53" s="5">
        <f t="shared" si="101"/>
        <v>7.7243387021246487E-2</v>
      </c>
      <c r="BD53" s="469">
        <f t="shared" si="102"/>
        <v>12.518941923399439</v>
      </c>
      <c r="BE53" s="5"/>
      <c r="BF53" s="177">
        <f t="shared" si="59"/>
        <v>0.14451110237369375</v>
      </c>
      <c r="BG53" s="177">
        <f t="shared" si="103"/>
        <v>0.35928634346649252</v>
      </c>
      <c r="BH53" s="177"/>
      <c r="BI53" s="538">
        <f t="shared" si="104"/>
        <v>7.3092105482410671E-3</v>
      </c>
      <c r="BJ53" s="538">
        <f t="shared" si="105"/>
        <v>5.198138560484384E-2</v>
      </c>
      <c r="BK53" s="538">
        <f t="shared" si="106"/>
        <v>4.3749999999999995E-3</v>
      </c>
      <c r="BL53" s="538">
        <f t="shared" si="107"/>
        <v>4.6565908480000008E-2</v>
      </c>
      <c r="BM53">
        <f t="shared" si="108"/>
        <v>9.2800000000000001E-3</v>
      </c>
      <c r="BN53">
        <f t="shared" si="109"/>
        <v>2.3625000000000002E-5</v>
      </c>
      <c r="BO53" s="538">
        <f t="shared" si="110"/>
        <v>0.12068462222549005</v>
      </c>
      <c r="BP53" s="469">
        <f t="shared" si="60"/>
        <v>120.68462222549005</v>
      </c>
      <c r="BQ53" s="538">
        <f t="shared" si="111"/>
        <v>8.5983110461781587E-2</v>
      </c>
      <c r="BR53" s="538"/>
      <c r="BT53" s="469">
        <f t="shared" si="61"/>
        <v>85.983110461781592</v>
      </c>
      <c r="BU53" s="538">
        <f t="shared" si="112"/>
        <v>2.0883458709260194E-3</v>
      </c>
      <c r="BV53" s="538">
        <f t="shared" si="113"/>
        <v>3.8726002980456727E-3</v>
      </c>
      <c r="BW53" s="538">
        <f t="shared" si="114"/>
        <v>0</v>
      </c>
      <c r="BX53" s="538">
        <f t="shared" si="115"/>
        <v>6.6794449742026826E-3</v>
      </c>
      <c r="BY53" s="538">
        <f t="shared" si="116"/>
        <v>5.802666666666666E-3</v>
      </c>
      <c r="BZ53" s="469">
        <f t="shared" si="62"/>
        <v>12.482111640869348</v>
      </c>
      <c r="CA53" s="177">
        <f t="shared" si="63"/>
        <v>0.21914984432814097</v>
      </c>
      <c r="CB53" s="5">
        <f t="shared" si="64"/>
        <v>1.536</v>
      </c>
      <c r="CC53" s="177">
        <f t="shared" si="65"/>
        <v>0.87513895463892433</v>
      </c>
      <c r="CD53" s="5">
        <f t="shared" si="66"/>
        <v>87.513895463892439</v>
      </c>
      <c r="CG53" s="571">
        <f t="shared" si="117"/>
        <v>-50</v>
      </c>
      <c r="CH53">
        <f t="shared" si="118"/>
        <v>-50</v>
      </c>
    </row>
    <row r="54" spans="5:86" x14ac:dyDescent="0.25">
      <c r="E54" s="174">
        <v>49</v>
      </c>
      <c r="F54" s="221">
        <f t="shared" si="119"/>
        <v>9.8000000000000004E-2</v>
      </c>
      <c r="G54" s="221"/>
      <c r="H54" s="221">
        <f t="shared" si="67"/>
        <v>1.5680000000000001</v>
      </c>
      <c r="I54" s="551">
        <f t="shared" si="68"/>
        <v>32</v>
      </c>
      <c r="J54" s="176">
        <f t="shared" si="69"/>
        <v>19.584</v>
      </c>
      <c r="K54" s="451">
        <f t="shared" si="70"/>
        <v>51.584000000000003</v>
      </c>
      <c r="L54" s="451"/>
      <c r="M54" s="221">
        <f t="shared" si="71"/>
        <v>0.37965260545905705</v>
      </c>
      <c r="N54" s="176">
        <f t="shared" si="72"/>
        <v>8.200496277915633</v>
      </c>
      <c r="O54" s="176">
        <f t="shared" si="53"/>
        <v>1.5680000000000001</v>
      </c>
      <c r="P54" s="221">
        <f t="shared" si="73"/>
        <v>0.51253101736972706</v>
      </c>
      <c r="Q54" s="221">
        <f t="shared" si="74"/>
        <v>16</v>
      </c>
      <c r="R54" s="221">
        <f t="shared" si="75"/>
        <v>0.56947890818858549</v>
      </c>
      <c r="S54" s="176">
        <f t="shared" si="76"/>
        <v>193.78545895487235</v>
      </c>
      <c r="T54" s="176">
        <f t="shared" si="77"/>
        <v>16</v>
      </c>
      <c r="U54" s="221">
        <f t="shared" si="78"/>
        <v>0.28681190994916489</v>
      </c>
      <c r="V54" s="221">
        <f t="shared" si="79"/>
        <v>0.26888616557734207</v>
      </c>
      <c r="W54" s="221">
        <f t="shared" si="80"/>
        <v>0.43935647970153935</v>
      </c>
      <c r="X54" s="201">
        <f t="shared" si="81"/>
        <v>350</v>
      </c>
      <c r="Y54" s="451">
        <f t="shared" si="54"/>
        <v>350</v>
      </c>
      <c r="AA54" s="221">
        <f t="shared" si="82"/>
        <v>1.1570365118752215</v>
      </c>
      <c r="AB54" s="177">
        <f t="shared" si="83"/>
        <v>1.7724211272598367</v>
      </c>
      <c r="AC54" s="177">
        <f t="shared" si="84"/>
        <v>0.4306587513183206</v>
      </c>
      <c r="AD54" s="177"/>
      <c r="AE54" s="177">
        <f t="shared" si="85"/>
        <v>0.4595588235294118</v>
      </c>
      <c r="AF54" s="555">
        <f t="shared" si="86"/>
        <v>1184.7111111111112</v>
      </c>
      <c r="AG54" s="538">
        <f t="shared" si="87"/>
        <v>2.8952205882352939E-2</v>
      </c>
      <c r="AI54" s="177">
        <f t="shared" si="88"/>
        <v>0.5817979794472381</v>
      </c>
      <c r="AJ54" s="177">
        <f t="shared" si="89"/>
        <v>0.5817979794472381</v>
      </c>
      <c r="AK54" s="177">
        <f t="shared" si="90"/>
        <v>1.3878653196314921</v>
      </c>
      <c r="AM54" s="555">
        <f t="shared" si="91"/>
        <v>98</v>
      </c>
      <c r="AN54" s="469">
        <f t="shared" si="92"/>
        <v>350</v>
      </c>
      <c r="AP54">
        <f t="shared" si="93"/>
        <v>98</v>
      </c>
      <c r="AQ54" s="469">
        <f t="shared" si="94"/>
        <v>350</v>
      </c>
      <c r="AR54" s="469"/>
      <c r="AS54" s="5">
        <f t="shared" si="55"/>
        <v>2.8571428571428572</v>
      </c>
      <c r="AT54" s="5">
        <f t="shared" si="95"/>
        <v>0.54543560573178573</v>
      </c>
      <c r="AU54" s="5">
        <f t="shared" si="56"/>
        <v>2.3117072514110717</v>
      </c>
      <c r="AV54" s="5">
        <f t="shared" si="96"/>
        <v>0.89123464988853873</v>
      </c>
      <c r="AW54" s="177">
        <f t="shared" si="57"/>
        <v>0.19090246200612501</v>
      </c>
      <c r="AX54" s="177">
        <f t="shared" si="97"/>
        <v>1.7770666666666668</v>
      </c>
      <c r="AY54" s="177">
        <f t="shared" si="98"/>
        <v>0.28243878766834279</v>
      </c>
      <c r="AZ54" s="177">
        <f t="shared" si="58"/>
        <v>6.2918648013509006</v>
      </c>
      <c r="BA54" s="469">
        <f t="shared" si="99"/>
        <v>6.273549245269658</v>
      </c>
      <c r="BB54" s="469">
        <f t="shared" si="100"/>
        <v>0.60326480666666671</v>
      </c>
      <c r="BC54" s="5">
        <f t="shared" si="101"/>
        <v>7.8662260638293416E-2</v>
      </c>
      <c r="BD54" s="469">
        <f t="shared" si="102"/>
        <v>12.74929503546028</v>
      </c>
      <c r="BE54" s="5"/>
      <c r="BF54" s="177">
        <f t="shared" si="59"/>
        <v>0.14676325862945239</v>
      </c>
      <c r="BG54" s="177">
        <f t="shared" si="103"/>
        <v>0.36257116927077293</v>
      </c>
      <c r="BH54" s="177"/>
      <c r="BI54" s="538">
        <f t="shared" si="104"/>
        <v>7.5388089292374345E-3</v>
      </c>
      <c r="BJ54" s="538">
        <f t="shared" si="105"/>
        <v>5.2520067200661082E-2</v>
      </c>
      <c r="BK54" s="538">
        <f t="shared" si="106"/>
        <v>4.3749999999999995E-3</v>
      </c>
      <c r="BL54" s="538">
        <f t="shared" si="107"/>
        <v>4.6565908480000008E-2</v>
      </c>
      <c r="BM54">
        <f t="shared" si="108"/>
        <v>9.2800000000000001E-3</v>
      </c>
      <c r="BN54">
        <f t="shared" si="109"/>
        <v>2.3625000000000002E-5</v>
      </c>
      <c r="BO54" s="538">
        <f t="shared" si="110"/>
        <v>0.12149013068307601</v>
      </c>
      <c r="BP54" s="469">
        <f t="shared" si="60"/>
        <v>121.49013068307602</v>
      </c>
      <c r="BQ54" s="538">
        <f t="shared" si="111"/>
        <v>8.7652899764395456E-2</v>
      </c>
      <c r="BR54" s="538"/>
      <c r="BT54" s="469">
        <f t="shared" si="61"/>
        <v>87.652899764395457</v>
      </c>
      <c r="BU54" s="538">
        <f t="shared" si="112"/>
        <v>2.1539454083535528E-3</v>
      </c>
      <c r="BV54" s="538">
        <f t="shared" si="113"/>
        <v>3.9437355835912642E-3</v>
      </c>
      <c r="BW54" s="538">
        <f t="shared" si="114"/>
        <v>0</v>
      </c>
      <c r="BX54" s="538">
        <f t="shared" si="115"/>
        <v>6.8327358184440447E-3</v>
      </c>
      <c r="BY54" s="538">
        <f t="shared" si="116"/>
        <v>5.923555555555556E-3</v>
      </c>
      <c r="BZ54" s="469">
        <f t="shared" si="62"/>
        <v>12.756291373999602</v>
      </c>
      <c r="CA54" s="177">
        <f t="shared" si="63"/>
        <v>0.22189932182147104</v>
      </c>
      <c r="CB54" s="5">
        <f t="shared" si="64"/>
        <v>1.5680000000000001</v>
      </c>
      <c r="CC54" s="177">
        <f t="shared" si="65"/>
        <v>0.87602692558391626</v>
      </c>
      <c r="CD54" s="5">
        <f t="shared" si="66"/>
        <v>87.602692558391624</v>
      </c>
      <c r="CG54" s="571">
        <f t="shared" si="117"/>
        <v>-50</v>
      </c>
      <c r="CH54">
        <f t="shared" si="118"/>
        <v>-50</v>
      </c>
    </row>
    <row r="55" spans="5:86" x14ac:dyDescent="0.25">
      <c r="E55" s="174">
        <v>50</v>
      </c>
      <c r="F55" s="221">
        <f t="shared" si="119"/>
        <v>0.1</v>
      </c>
      <c r="G55" s="221"/>
      <c r="H55" s="221">
        <f t="shared" si="67"/>
        <v>1.6</v>
      </c>
      <c r="I55" s="551">
        <f t="shared" si="68"/>
        <v>32</v>
      </c>
      <c r="J55" s="176">
        <f t="shared" si="69"/>
        <v>19.584</v>
      </c>
      <c r="K55" s="451">
        <f t="shared" si="70"/>
        <v>51.584000000000003</v>
      </c>
      <c r="L55" s="451"/>
      <c r="M55" s="221">
        <f t="shared" si="71"/>
        <v>0.37965260545905705</v>
      </c>
      <c r="N55" s="176">
        <f t="shared" si="72"/>
        <v>8.200496277915633</v>
      </c>
      <c r="O55" s="176">
        <f t="shared" si="53"/>
        <v>1.6</v>
      </c>
      <c r="P55" s="221">
        <f t="shared" si="73"/>
        <v>0.51253101736972706</v>
      </c>
      <c r="Q55" s="221">
        <f t="shared" si="74"/>
        <v>16</v>
      </c>
      <c r="R55" s="221">
        <f t="shared" si="75"/>
        <v>0.56947890818858549</v>
      </c>
      <c r="S55" s="176">
        <f t="shared" si="76"/>
        <v>189.37831703939099</v>
      </c>
      <c r="T55" s="176">
        <f t="shared" si="77"/>
        <v>16</v>
      </c>
      <c r="U55" s="221">
        <f t="shared" si="78"/>
        <v>0.29266521423384173</v>
      </c>
      <c r="V55" s="221">
        <f t="shared" si="79"/>
        <v>0.27437363834422662</v>
      </c>
      <c r="W55" s="221">
        <f t="shared" si="80"/>
        <v>0.4483229384709585</v>
      </c>
      <c r="X55" s="201">
        <f t="shared" si="81"/>
        <v>350</v>
      </c>
      <c r="Y55" s="451">
        <f t="shared" si="54"/>
        <v>350</v>
      </c>
      <c r="AA55" s="221">
        <f t="shared" si="82"/>
        <v>1.1570365118752215</v>
      </c>
      <c r="AB55" s="177">
        <f t="shared" si="83"/>
        <v>1.7724211272598367</v>
      </c>
      <c r="AC55" s="177">
        <f t="shared" si="84"/>
        <v>0.4306587513183206</v>
      </c>
      <c r="AD55" s="177"/>
      <c r="AE55" s="177">
        <f t="shared" si="85"/>
        <v>0.4595588235294118</v>
      </c>
      <c r="AF55" s="555">
        <f t="shared" si="86"/>
        <v>1208.8888888888889</v>
      </c>
      <c r="AG55" s="538">
        <f t="shared" si="87"/>
        <v>2.8952205882352939E-2</v>
      </c>
      <c r="AI55" s="177">
        <f t="shared" si="88"/>
        <v>0.58770470935396235</v>
      </c>
      <c r="AJ55" s="177">
        <f t="shared" si="89"/>
        <v>0.58770470935396235</v>
      </c>
      <c r="AK55" s="177">
        <f t="shared" si="90"/>
        <v>1.3918031395693082</v>
      </c>
      <c r="AM55" s="555">
        <f t="shared" si="91"/>
        <v>100</v>
      </c>
      <c r="AN55" s="469">
        <f t="shared" si="92"/>
        <v>350</v>
      </c>
      <c r="AP55">
        <f t="shared" si="93"/>
        <v>100</v>
      </c>
      <c r="AQ55" s="469">
        <f t="shared" si="94"/>
        <v>350</v>
      </c>
      <c r="AR55" s="469"/>
      <c r="AS55" s="5">
        <f t="shared" si="55"/>
        <v>2.8571428571428572</v>
      </c>
      <c r="AT55" s="5">
        <f t="shared" si="95"/>
        <v>0.55097316501933968</v>
      </c>
      <c r="AU55" s="5">
        <f t="shared" si="56"/>
        <v>2.3061696921235173</v>
      </c>
      <c r="AV55" s="5">
        <f t="shared" si="96"/>
        <v>0.90028294937800613</v>
      </c>
      <c r="AW55" s="177">
        <f t="shared" si="57"/>
        <v>0.19284060775676889</v>
      </c>
      <c r="AX55" s="177">
        <f t="shared" si="97"/>
        <v>1.8133333333333332</v>
      </c>
      <c r="AY55" s="177">
        <f t="shared" si="98"/>
        <v>0.28462282561237739</v>
      </c>
      <c r="AZ55" s="177">
        <f t="shared" si="58"/>
        <v>6.3710046073496533</v>
      </c>
      <c r="BA55" s="469">
        <f t="shared" si="99"/>
        <v>6.273549245269658</v>
      </c>
      <c r="BB55" s="469">
        <f t="shared" si="100"/>
        <v>0.62201666666666666</v>
      </c>
      <c r="BC55" s="5">
        <f t="shared" si="101"/>
        <v>8.0075336532066568E-2</v>
      </c>
      <c r="BD55" s="469">
        <f t="shared" si="102"/>
        <v>12.97872051179732</v>
      </c>
      <c r="BE55" s="5"/>
      <c r="BF55" s="177">
        <f t="shared" si="59"/>
        <v>0.14900395266209371</v>
      </c>
      <c r="BG55" s="177">
        <f t="shared" si="103"/>
        <v>0.36581325837320411</v>
      </c>
      <c r="BH55" s="177"/>
      <c r="BI55" s="538">
        <f t="shared" si="104"/>
        <v>7.7707622681246107E-3</v>
      </c>
      <c r="BJ55" s="538">
        <f t="shared" si="105"/>
        <v>5.3053279522800888E-2</v>
      </c>
      <c r="BK55" s="538">
        <f t="shared" si="106"/>
        <v>4.3749999999999995E-3</v>
      </c>
      <c r="BL55" s="538">
        <f t="shared" si="107"/>
        <v>4.6565908480000008E-2</v>
      </c>
      <c r="BM55">
        <f t="shared" si="108"/>
        <v>9.2800000000000001E-3</v>
      </c>
      <c r="BN55">
        <f t="shared" si="109"/>
        <v>2.3625000000000002E-5</v>
      </c>
      <c r="BO55" s="538">
        <f t="shared" si="110"/>
        <v>0.12229296028382632</v>
      </c>
      <c r="BP55" s="469">
        <f t="shared" si="60"/>
        <v>122.29296028382632</v>
      </c>
      <c r="BQ55" s="538">
        <f t="shared" si="111"/>
        <v>8.9318987880619066E-2</v>
      </c>
      <c r="BR55" s="538"/>
      <c r="BT55" s="469">
        <f t="shared" si="61"/>
        <v>89.318987880619062</v>
      </c>
      <c r="BU55" s="538">
        <f t="shared" si="112"/>
        <v>2.2202177908927463E-3</v>
      </c>
      <c r="BV55" s="538">
        <f t="shared" si="113"/>
        <v>4.0145802000486168E-3</v>
      </c>
      <c r="BW55" s="538">
        <f t="shared" si="114"/>
        <v>0</v>
      </c>
      <c r="BX55" s="538">
        <f t="shared" si="115"/>
        <v>6.9864584824391356E-3</v>
      </c>
      <c r="BY55" s="538">
        <f t="shared" si="116"/>
        <v>6.0444444444444443E-3</v>
      </c>
      <c r="BZ55" s="469">
        <f t="shared" si="62"/>
        <v>13.030902926883581</v>
      </c>
      <c r="CA55" s="177">
        <f t="shared" si="63"/>
        <v>0.22464285109132898</v>
      </c>
      <c r="CB55" s="5">
        <f t="shared" si="64"/>
        <v>1.6</v>
      </c>
      <c r="CC55" s="177">
        <f t="shared" si="65"/>
        <v>0.87688393322727853</v>
      </c>
      <c r="CD55" s="5">
        <f t="shared" si="66"/>
        <v>87.688393322727848</v>
      </c>
      <c r="CG55" s="571">
        <f t="shared" si="117"/>
        <v>-50</v>
      </c>
      <c r="CH55">
        <f t="shared" si="118"/>
        <v>-50</v>
      </c>
    </row>
    <row r="56" spans="5:86" x14ac:dyDescent="0.25">
      <c r="E56" s="174">
        <v>51</v>
      </c>
      <c r="F56" s="221">
        <f t="shared" si="119"/>
        <v>0.10200000000000001</v>
      </c>
      <c r="G56" s="221"/>
      <c r="H56" s="221">
        <f t="shared" si="67"/>
        <v>1.6320000000000001</v>
      </c>
      <c r="I56" s="551">
        <f t="shared" si="68"/>
        <v>32</v>
      </c>
      <c r="J56" s="176">
        <f t="shared" si="69"/>
        <v>19.584</v>
      </c>
      <c r="K56" s="451">
        <f t="shared" si="70"/>
        <v>51.584000000000003</v>
      </c>
      <c r="L56" s="451"/>
      <c r="M56" s="221">
        <f t="shared" si="71"/>
        <v>0.37965260545905705</v>
      </c>
      <c r="N56" s="176">
        <f t="shared" si="72"/>
        <v>8.200496277915633</v>
      </c>
      <c r="O56" s="176">
        <f t="shared" si="53"/>
        <v>1.6320000000000001</v>
      </c>
      <c r="P56" s="221">
        <f t="shared" si="73"/>
        <v>0.51253101736972706</v>
      </c>
      <c r="Q56" s="221">
        <f t="shared" si="74"/>
        <v>16</v>
      </c>
      <c r="R56" s="221">
        <f t="shared" si="75"/>
        <v>0.56947890818858549</v>
      </c>
      <c r="S56" s="176">
        <f t="shared" si="76"/>
        <v>185.14404992955005</v>
      </c>
      <c r="T56" s="176">
        <f t="shared" si="77"/>
        <v>16</v>
      </c>
      <c r="U56" s="221">
        <f t="shared" si="78"/>
        <v>0.29851851851851857</v>
      </c>
      <c r="V56" s="221">
        <f t="shared" si="79"/>
        <v>0.27986111111111117</v>
      </c>
      <c r="W56" s="221">
        <f t="shared" si="80"/>
        <v>0.4572893972403777</v>
      </c>
      <c r="X56" s="201">
        <f t="shared" si="81"/>
        <v>350</v>
      </c>
      <c r="Y56" s="451">
        <f t="shared" si="54"/>
        <v>350</v>
      </c>
      <c r="AA56" s="221">
        <f t="shared" si="82"/>
        <v>1.1570365118752215</v>
      </c>
      <c r="AB56" s="177">
        <f t="shared" si="83"/>
        <v>1.7724211272598367</v>
      </c>
      <c r="AC56" s="177">
        <f t="shared" si="84"/>
        <v>0.4306587513183206</v>
      </c>
      <c r="AD56" s="177"/>
      <c r="AE56" s="177">
        <f t="shared" si="85"/>
        <v>0.4595588235294118</v>
      </c>
      <c r="AF56" s="555">
        <f t="shared" si="86"/>
        <v>1233.0666666666671</v>
      </c>
      <c r="AG56" s="538">
        <f t="shared" si="87"/>
        <v>2.8952205882352939E-2</v>
      </c>
      <c r="AI56" s="177">
        <f t="shared" si="88"/>
        <v>0.59355266144189922</v>
      </c>
      <c r="AJ56" s="177">
        <f t="shared" si="89"/>
        <v>0.59355266144189922</v>
      </c>
      <c r="AK56" s="177">
        <f t="shared" si="90"/>
        <v>1.3957017742945994</v>
      </c>
      <c r="AM56" s="555">
        <f t="shared" si="91"/>
        <v>102.00000000000001</v>
      </c>
      <c r="AN56" s="469">
        <f t="shared" si="92"/>
        <v>350</v>
      </c>
      <c r="AP56">
        <f t="shared" si="93"/>
        <v>102.00000000000001</v>
      </c>
      <c r="AQ56" s="469">
        <f t="shared" si="94"/>
        <v>350</v>
      </c>
      <c r="AR56" s="469"/>
      <c r="AS56" s="5">
        <f t="shared" si="55"/>
        <v>2.8571428571428572</v>
      </c>
      <c r="AT56" s="5">
        <f t="shared" si="95"/>
        <v>0.55645562010178062</v>
      </c>
      <c r="AU56" s="5">
        <f t="shared" si="56"/>
        <v>2.3006872370410765</v>
      </c>
      <c r="AV56" s="5">
        <f t="shared" si="96"/>
        <v>0.90924120931663499</v>
      </c>
      <c r="AW56" s="177">
        <f t="shared" si="57"/>
        <v>0.19475946703562322</v>
      </c>
      <c r="AX56" s="177">
        <f t="shared" si="97"/>
        <v>1.8495999999999997</v>
      </c>
      <c r="AY56" s="177">
        <f t="shared" si="98"/>
        <v>0.28677159686513953</v>
      </c>
      <c r="AZ56" s="177">
        <f t="shared" si="58"/>
        <v>6.4497321918174961</v>
      </c>
      <c r="BA56" s="469">
        <f t="shared" si="99"/>
        <v>6.273549245269658</v>
      </c>
      <c r="BB56" s="469">
        <f t="shared" si="100"/>
        <v>0.64102614000000002</v>
      </c>
      <c r="BC56" s="5">
        <f t="shared" si="101"/>
        <v>8.1482672978538132E-2</v>
      </c>
      <c r="BD56" s="469">
        <f t="shared" si="102"/>
        <v>13.207227676566102</v>
      </c>
      <c r="BE56" s="5"/>
      <c r="BF56" s="177">
        <f t="shared" si="59"/>
        <v>0.15123347035040838</v>
      </c>
      <c r="BG56" s="177">
        <f t="shared" si="103"/>
        <v>0.36901386916510004</v>
      </c>
      <c r="BH56" s="177"/>
      <c r="BI56" s="538">
        <f t="shared" si="104"/>
        <v>8.0050468939797462E-3</v>
      </c>
      <c r="BJ56" s="538">
        <f t="shared" si="105"/>
        <v>5.3581185853683128E-2</v>
      </c>
      <c r="BK56" s="538">
        <f t="shared" si="106"/>
        <v>4.3749999999999995E-3</v>
      </c>
      <c r="BL56" s="538">
        <f t="shared" si="107"/>
        <v>4.6565908480000008E-2</v>
      </c>
      <c r="BM56">
        <f t="shared" si="108"/>
        <v>9.2800000000000001E-3</v>
      </c>
      <c r="BN56">
        <f t="shared" si="109"/>
        <v>2.3625000000000002E-5</v>
      </c>
      <c r="BO56" s="538">
        <f t="shared" si="110"/>
        <v>0.12309324781063505</v>
      </c>
      <c r="BP56" s="469">
        <f t="shared" si="60"/>
        <v>123.09324781063505</v>
      </c>
      <c r="BQ56" s="538">
        <f t="shared" si="111"/>
        <v>9.0981412013027479E-2</v>
      </c>
      <c r="BR56" s="538"/>
      <c r="BT56" s="469">
        <f t="shared" si="61"/>
        <v>90.98141201302748</v>
      </c>
      <c r="BU56" s="538">
        <f t="shared" si="112"/>
        <v>2.2871562554227852E-3</v>
      </c>
      <c r="BV56" s="538">
        <f t="shared" si="113"/>
        <v>4.0851370690859271E-3</v>
      </c>
      <c r="BW56" s="538">
        <f t="shared" si="114"/>
        <v>0</v>
      </c>
      <c r="BX56" s="538">
        <f t="shared" si="115"/>
        <v>7.1406086876956414E-3</v>
      </c>
      <c r="BY56" s="538">
        <f t="shared" si="116"/>
        <v>6.1653333333333326E-3</v>
      </c>
      <c r="BZ56" s="469">
        <f t="shared" si="62"/>
        <v>13.305942021028974</v>
      </c>
      <c r="CA56" s="177">
        <f t="shared" si="63"/>
        <v>0.2273806018446915</v>
      </c>
      <c r="CB56" s="5">
        <f t="shared" si="64"/>
        <v>1.6320000000000001</v>
      </c>
      <c r="CC56" s="177">
        <f t="shared" si="65"/>
        <v>0.87771164138256186</v>
      </c>
      <c r="CD56" s="5">
        <f t="shared" si="66"/>
        <v>87.771164138256182</v>
      </c>
      <c r="CG56" s="571">
        <f t="shared" si="117"/>
        <v>-50</v>
      </c>
      <c r="CH56">
        <f t="shared" si="118"/>
        <v>-50</v>
      </c>
    </row>
    <row r="57" spans="5:86" x14ac:dyDescent="0.25">
      <c r="E57" s="174">
        <v>52</v>
      </c>
      <c r="F57" s="221">
        <f t="shared" si="119"/>
        <v>0.10400000000000001</v>
      </c>
      <c r="G57" s="221"/>
      <c r="H57" s="221">
        <f t="shared" si="67"/>
        <v>1.6640000000000001</v>
      </c>
      <c r="I57" s="551">
        <f t="shared" si="68"/>
        <v>32</v>
      </c>
      <c r="J57" s="176">
        <f t="shared" si="69"/>
        <v>19.584</v>
      </c>
      <c r="K57" s="451">
        <f t="shared" si="70"/>
        <v>51.584000000000003</v>
      </c>
      <c r="L57" s="451"/>
      <c r="M57" s="221">
        <f t="shared" si="71"/>
        <v>0.37965260545905705</v>
      </c>
      <c r="N57" s="176">
        <f t="shared" si="72"/>
        <v>8.200496277915633</v>
      </c>
      <c r="O57" s="176">
        <f t="shared" si="53"/>
        <v>1.6640000000000001</v>
      </c>
      <c r="P57" s="221">
        <f t="shared" si="73"/>
        <v>0.51253101736972706</v>
      </c>
      <c r="Q57" s="221">
        <f t="shared" si="74"/>
        <v>16</v>
      </c>
      <c r="R57" s="221">
        <f t="shared" si="75"/>
        <v>0.56947890818858549</v>
      </c>
      <c r="S57" s="176">
        <f t="shared" si="76"/>
        <v>181.07268445167074</v>
      </c>
      <c r="T57" s="176">
        <f t="shared" si="77"/>
        <v>16</v>
      </c>
      <c r="U57" s="221">
        <f t="shared" si="78"/>
        <v>0.30437182280319541</v>
      </c>
      <c r="V57" s="221">
        <f t="shared" si="79"/>
        <v>0.28534858387799572</v>
      </c>
      <c r="W57" s="221">
        <f t="shared" si="80"/>
        <v>0.46625585600979691</v>
      </c>
      <c r="X57" s="201">
        <f t="shared" si="81"/>
        <v>350</v>
      </c>
      <c r="Y57" s="451">
        <f t="shared" si="54"/>
        <v>350</v>
      </c>
      <c r="AA57" s="221">
        <f t="shared" si="82"/>
        <v>1.1570365118752215</v>
      </c>
      <c r="AB57" s="177">
        <f t="shared" si="83"/>
        <v>1.7724211272598367</v>
      </c>
      <c r="AC57" s="177">
        <f t="shared" si="84"/>
        <v>0.4306587513183206</v>
      </c>
      <c r="AD57" s="177"/>
      <c r="AE57" s="177">
        <f t="shared" si="85"/>
        <v>0.4595588235294118</v>
      </c>
      <c r="AF57" s="555">
        <f t="shared" si="86"/>
        <v>1257.2444444444448</v>
      </c>
      <c r="AG57" s="538">
        <f t="shared" si="87"/>
        <v>2.8952205882352939E-2</v>
      </c>
      <c r="AI57" s="177">
        <f t="shared" si="88"/>
        <v>0.59934355624524605</v>
      </c>
      <c r="AJ57" s="177">
        <f t="shared" si="89"/>
        <v>0.59934355624524605</v>
      </c>
      <c r="AK57" s="177">
        <f t="shared" si="90"/>
        <v>1.3995623708301639</v>
      </c>
      <c r="AM57" s="555">
        <f t="shared" si="91"/>
        <v>104.00000000000001</v>
      </c>
      <c r="AN57" s="469">
        <f t="shared" si="92"/>
        <v>350</v>
      </c>
      <c r="AP57">
        <f t="shared" si="93"/>
        <v>104.00000000000001</v>
      </c>
      <c r="AQ57" s="469">
        <f t="shared" si="94"/>
        <v>350</v>
      </c>
      <c r="AR57" s="469"/>
      <c r="AS57" s="5">
        <f t="shared" si="55"/>
        <v>2.8571428571428572</v>
      </c>
      <c r="AT57" s="5">
        <f t="shared" si="95"/>
        <v>0.56188458397991814</v>
      </c>
      <c r="AU57" s="5">
        <f t="shared" si="56"/>
        <v>2.295258273162939</v>
      </c>
      <c r="AV57" s="5">
        <f t="shared" si="96"/>
        <v>0.91811206532666378</v>
      </c>
      <c r="AW57" s="177">
        <f t="shared" si="57"/>
        <v>0.19665960439297134</v>
      </c>
      <c r="AX57" s="177">
        <f t="shared" si="97"/>
        <v>1.8858666666666668</v>
      </c>
      <c r="AY57" s="177">
        <f t="shared" si="98"/>
        <v>0.28888613374714761</v>
      </c>
      <c r="AZ57" s="177">
        <f t="shared" si="58"/>
        <v>6.5280622583197534</v>
      </c>
      <c r="BA57" s="469">
        <f t="shared" si="99"/>
        <v>6.273549245269658</v>
      </c>
      <c r="BB57" s="469">
        <f t="shared" si="100"/>
        <v>0.66029322666666679</v>
      </c>
      <c r="BC57" s="5">
        <f t="shared" si="101"/>
        <v>8.2884326530883901E-2</v>
      </c>
      <c r="BD57" s="469">
        <f t="shared" si="102"/>
        <v>13.434825578274758</v>
      </c>
      <c r="BE57" s="5"/>
      <c r="BF57" s="177">
        <f t="shared" si="59"/>
        <v>0.15345208498939009</v>
      </c>
      <c r="BG57" s="177">
        <f t="shared" si="103"/>
        <v>0.37217419872952534</v>
      </c>
      <c r="BH57" s="177"/>
      <c r="BI57" s="538">
        <f t="shared" si="104"/>
        <v>8.2416398356568495E-3</v>
      </c>
      <c r="BJ57" s="538">
        <f t="shared" si="105"/>
        <v>5.4103941509370854E-2</v>
      </c>
      <c r="BK57" s="538">
        <f t="shared" si="106"/>
        <v>4.3749999999999995E-3</v>
      </c>
      <c r="BL57" s="538">
        <f t="shared" si="107"/>
        <v>4.6565908480000008E-2</v>
      </c>
      <c r="BM57">
        <f t="shared" si="108"/>
        <v>9.2800000000000001E-3</v>
      </c>
      <c r="BN57">
        <f t="shared" si="109"/>
        <v>2.3625000000000002E-5</v>
      </c>
      <c r="BO57" s="538">
        <f t="shared" si="110"/>
        <v>0.12389112288235639</v>
      </c>
      <c r="BP57" s="469">
        <f t="shared" si="60"/>
        <v>123.89112288235638</v>
      </c>
      <c r="BQ57" s="538">
        <f t="shared" si="111"/>
        <v>9.2640208264386334E-2</v>
      </c>
      <c r="BR57" s="538"/>
      <c r="BT57" s="469">
        <f t="shared" si="61"/>
        <v>92.640208264386331</v>
      </c>
      <c r="BU57" s="538">
        <f t="shared" si="112"/>
        <v>2.3547542387590999E-3</v>
      </c>
      <c r="BV57" s="538">
        <f t="shared" si="113"/>
        <v>4.1554090259989258E-3</v>
      </c>
      <c r="BW57" s="538">
        <f t="shared" si="114"/>
        <v>0</v>
      </c>
      <c r="BX57" s="538">
        <f t="shared" si="115"/>
        <v>7.2951822827455369E-3</v>
      </c>
      <c r="BY57" s="538">
        <f t="shared" si="116"/>
        <v>6.2862222222222226E-3</v>
      </c>
      <c r="BZ57" s="469">
        <f t="shared" si="62"/>
        <v>13.581404504967761</v>
      </c>
      <c r="CA57" s="177">
        <f t="shared" si="63"/>
        <v>0.23011273565171048</v>
      </c>
      <c r="CB57" s="5">
        <f t="shared" si="64"/>
        <v>1.6640000000000001</v>
      </c>
      <c r="CC57" s="177">
        <f t="shared" si="65"/>
        <v>0.87851159473222418</v>
      </c>
      <c r="CD57" s="5">
        <f t="shared" si="66"/>
        <v>87.851159473222424</v>
      </c>
      <c r="CG57" s="571">
        <f t="shared" si="117"/>
        <v>-50</v>
      </c>
      <c r="CH57">
        <f t="shared" si="118"/>
        <v>-50</v>
      </c>
    </row>
    <row r="58" spans="5:86" x14ac:dyDescent="0.25">
      <c r="E58" s="174">
        <v>53</v>
      </c>
      <c r="F58" s="221">
        <f t="shared" si="119"/>
        <v>0.10600000000000001</v>
      </c>
      <c r="G58" s="221"/>
      <c r="H58" s="221">
        <f t="shared" si="67"/>
        <v>1.6960000000000002</v>
      </c>
      <c r="I58" s="551">
        <f t="shared" si="68"/>
        <v>32</v>
      </c>
      <c r="J58" s="176">
        <f t="shared" si="69"/>
        <v>19.584</v>
      </c>
      <c r="K58" s="451">
        <f t="shared" si="70"/>
        <v>51.584000000000003</v>
      </c>
      <c r="L58" s="451"/>
      <c r="M58" s="221">
        <f t="shared" si="71"/>
        <v>0.37965260545905705</v>
      </c>
      <c r="N58" s="176">
        <f t="shared" si="72"/>
        <v>8.200496277915633</v>
      </c>
      <c r="O58" s="176">
        <f t="shared" si="53"/>
        <v>1.6960000000000002</v>
      </c>
      <c r="P58" s="221">
        <f t="shared" si="73"/>
        <v>0.51253101736972706</v>
      </c>
      <c r="Q58" s="221">
        <f t="shared" si="74"/>
        <v>16</v>
      </c>
      <c r="R58" s="221">
        <f t="shared" si="75"/>
        <v>0.56947890818858549</v>
      </c>
      <c r="S58" s="176">
        <f t="shared" si="76"/>
        <v>177.15500012842688</v>
      </c>
      <c r="T58" s="176">
        <f t="shared" si="77"/>
        <v>16</v>
      </c>
      <c r="U58" s="221">
        <f t="shared" si="78"/>
        <v>0.31022512708787225</v>
      </c>
      <c r="V58" s="221">
        <f t="shared" si="79"/>
        <v>0.29083605664488021</v>
      </c>
      <c r="W58" s="221">
        <f t="shared" si="80"/>
        <v>0.47522231477921606</v>
      </c>
      <c r="X58" s="201">
        <f t="shared" si="81"/>
        <v>350</v>
      </c>
      <c r="Y58" s="451">
        <f t="shared" si="54"/>
        <v>350</v>
      </c>
      <c r="AA58" s="221">
        <f t="shared" si="82"/>
        <v>1.1570365118752215</v>
      </c>
      <c r="AB58" s="177">
        <f t="shared" si="83"/>
        <v>1.7724211272598367</v>
      </c>
      <c r="AC58" s="177">
        <f t="shared" si="84"/>
        <v>0.4306587513183206</v>
      </c>
      <c r="AD58" s="177"/>
      <c r="AE58" s="177">
        <f t="shared" si="85"/>
        <v>0.4595588235294118</v>
      </c>
      <c r="AF58" s="555">
        <f t="shared" si="86"/>
        <v>1281.4222222222224</v>
      </c>
      <c r="AG58" s="538">
        <f t="shared" si="87"/>
        <v>2.8952205882352939E-2</v>
      </c>
      <c r="AI58" s="177">
        <f t="shared" si="88"/>
        <v>0.60507903196246593</v>
      </c>
      <c r="AJ58" s="177">
        <f t="shared" si="89"/>
        <v>0.60507903196246593</v>
      </c>
      <c r="AK58" s="177">
        <f t="shared" si="90"/>
        <v>1.4033860213083107</v>
      </c>
      <c r="AM58" s="555">
        <f t="shared" si="91"/>
        <v>106.00000000000001</v>
      </c>
      <c r="AN58" s="469">
        <f t="shared" si="92"/>
        <v>350</v>
      </c>
      <c r="AP58">
        <f t="shared" si="93"/>
        <v>106.00000000000001</v>
      </c>
      <c r="AQ58" s="469">
        <f t="shared" si="94"/>
        <v>350</v>
      </c>
      <c r="AR58" s="469"/>
      <c r="AS58" s="5">
        <f t="shared" si="55"/>
        <v>2.8571428571428572</v>
      </c>
      <c r="AT58" s="5">
        <f t="shared" si="95"/>
        <v>0.56726159246481178</v>
      </c>
      <c r="AU58" s="5">
        <f t="shared" si="56"/>
        <v>2.2898812646780455</v>
      </c>
      <c r="AV58" s="5">
        <f t="shared" si="96"/>
        <v>0.92689802690328738</v>
      </c>
      <c r="AW58" s="177">
        <f t="shared" si="57"/>
        <v>0.19854155736268411</v>
      </c>
      <c r="AX58" s="177">
        <f t="shared" si="97"/>
        <v>1.9221333333333328</v>
      </c>
      <c r="AY58" s="177">
        <f t="shared" si="98"/>
        <v>0.29096741917747959</v>
      </c>
      <c r="AZ58" s="177">
        <f t="shared" si="58"/>
        <v>6.606008805958103</v>
      </c>
      <c r="BA58" s="469">
        <f t="shared" si="99"/>
        <v>6.273549245269658</v>
      </c>
      <c r="BB58" s="469">
        <f t="shared" si="100"/>
        <v>0.67981792666666674</v>
      </c>
      <c r="BC58" s="5">
        <f t="shared" si="101"/>
        <v>8.428035210273363E-2</v>
      </c>
      <c r="BD58" s="469">
        <f t="shared" si="102"/>
        <v>13.661523003104048</v>
      </c>
      <c r="BE58" s="5"/>
      <c r="BF58" s="177">
        <f t="shared" si="59"/>
        <v>0.1556600580750219</v>
      </c>
      <c r="BG58" s="177">
        <f t="shared" si="103"/>
        <v>0.37529538694583114</v>
      </c>
      <c r="BH58" s="177"/>
      <c r="BI58" s="538">
        <f t="shared" si="104"/>
        <v>8.480518787971715E-3</v>
      </c>
      <c r="BJ58" s="538">
        <f t="shared" si="105"/>
        <v>5.4621694373315731E-2</v>
      </c>
      <c r="BK58" s="538">
        <f t="shared" si="106"/>
        <v>4.3749999999999995E-3</v>
      </c>
      <c r="BL58" s="538">
        <f t="shared" si="107"/>
        <v>4.6565908480000008E-2</v>
      </c>
      <c r="BM58">
        <f t="shared" si="108"/>
        <v>9.2800000000000001E-3</v>
      </c>
      <c r="BN58">
        <f t="shared" si="109"/>
        <v>2.3625000000000002E-5</v>
      </c>
      <c r="BO58" s="538">
        <f t="shared" si="110"/>
        <v>0.12468670844879473</v>
      </c>
      <c r="BP58" s="469">
        <f t="shared" si="60"/>
        <v>124.68670844879473</v>
      </c>
      <c r="BQ58" s="538">
        <f t="shared" si="111"/>
        <v>9.4295411690797679E-2</v>
      </c>
      <c r="BR58" s="538"/>
      <c r="BT58" s="469">
        <f t="shared" si="61"/>
        <v>94.295411690797678</v>
      </c>
      <c r="BU58" s="538">
        <f t="shared" si="112"/>
        <v>2.4230053679919188E-3</v>
      </c>
      <c r="BV58" s="538">
        <f t="shared" si="113"/>
        <v>4.2253988238846333E-3</v>
      </c>
      <c r="BW58" s="538">
        <f t="shared" si="114"/>
        <v>0</v>
      </c>
      <c r="BX58" s="538">
        <f t="shared" si="115"/>
        <v>7.4501752370038123E-3</v>
      </c>
      <c r="BY58" s="538">
        <f t="shared" si="116"/>
        <v>6.4071111111111108E-3</v>
      </c>
      <c r="BZ58" s="469">
        <f t="shared" si="62"/>
        <v>13.857286348114922</v>
      </c>
      <c r="CA58" s="177">
        <f t="shared" si="63"/>
        <v>0.23283940648770732</v>
      </c>
      <c r="CB58" s="5">
        <f t="shared" si="64"/>
        <v>1.6960000000000002</v>
      </c>
      <c r="CC58" s="177">
        <f t="shared" si="65"/>
        <v>0.87928522939517662</v>
      </c>
      <c r="CD58" s="5">
        <f t="shared" si="66"/>
        <v>87.928522939517663</v>
      </c>
      <c r="CG58" s="571">
        <f t="shared" si="117"/>
        <v>-50</v>
      </c>
      <c r="CH58">
        <f t="shared" si="118"/>
        <v>-50</v>
      </c>
    </row>
    <row r="59" spans="5:86" x14ac:dyDescent="0.25">
      <c r="E59" s="174">
        <v>54</v>
      </c>
      <c r="F59" s="221">
        <f t="shared" si="119"/>
        <v>0.10800000000000001</v>
      </c>
      <c r="G59" s="221"/>
      <c r="H59" s="221">
        <f t="shared" si="67"/>
        <v>1.7280000000000002</v>
      </c>
      <c r="I59" s="551">
        <f t="shared" si="68"/>
        <v>32</v>
      </c>
      <c r="J59" s="176">
        <f t="shared" si="69"/>
        <v>19.584</v>
      </c>
      <c r="K59" s="451">
        <f t="shared" si="70"/>
        <v>51.584000000000003</v>
      </c>
      <c r="L59" s="451"/>
      <c r="M59" s="221">
        <f t="shared" si="71"/>
        <v>0.37965260545905705</v>
      </c>
      <c r="N59" s="176">
        <f t="shared" si="72"/>
        <v>8.200496277915633</v>
      </c>
      <c r="O59" s="176">
        <f t="shared" si="53"/>
        <v>1.7280000000000002</v>
      </c>
      <c r="P59" s="221">
        <f t="shared" si="73"/>
        <v>0.51253101736972706</v>
      </c>
      <c r="Q59" s="221">
        <f t="shared" si="74"/>
        <v>16</v>
      </c>
      <c r="R59" s="221">
        <f t="shared" si="75"/>
        <v>0.56947890818858549</v>
      </c>
      <c r="S59" s="176">
        <f t="shared" si="76"/>
        <v>173.38245948479164</v>
      </c>
      <c r="T59" s="176">
        <f t="shared" si="77"/>
        <v>16</v>
      </c>
      <c r="U59" s="221">
        <f t="shared" si="78"/>
        <v>0.3160784313725491</v>
      </c>
      <c r="V59" s="221">
        <f t="shared" si="79"/>
        <v>0.29632352941176476</v>
      </c>
      <c r="W59" s="221">
        <f t="shared" si="80"/>
        <v>0.48418877354863532</v>
      </c>
      <c r="X59" s="201">
        <f t="shared" si="81"/>
        <v>350</v>
      </c>
      <c r="Y59" s="451">
        <f t="shared" si="54"/>
        <v>350</v>
      </c>
      <c r="AA59" s="221">
        <f t="shared" si="82"/>
        <v>1.1570365118752215</v>
      </c>
      <c r="AB59" s="177">
        <f t="shared" si="83"/>
        <v>1.7724211272598367</v>
      </c>
      <c r="AC59" s="177">
        <f t="shared" si="84"/>
        <v>0.4306587513183206</v>
      </c>
      <c r="AD59" s="177"/>
      <c r="AE59" s="177">
        <f t="shared" si="85"/>
        <v>0.4595588235294118</v>
      </c>
      <c r="AF59" s="555">
        <f t="shared" si="86"/>
        <v>1305.6000000000001</v>
      </c>
      <c r="AG59" s="538">
        <f t="shared" si="87"/>
        <v>2.8952205882352939E-2</v>
      </c>
      <c r="AI59" s="177">
        <f t="shared" si="88"/>
        <v>0.6107606498691377</v>
      </c>
      <c r="AJ59" s="177">
        <f t="shared" si="89"/>
        <v>0.6107606498691377</v>
      </c>
      <c r="AK59" s="177">
        <f t="shared" si="90"/>
        <v>1.4071737665794251</v>
      </c>
      <c r="AM59" s="555">
        <f t="shared" si="91"/>
        <v>108.00000000000001</v>
      </c>
      <c r="AN59" s="469">
        <f t="shared" si="92"/>
        <v>350</v>
      </c>
      <c r="AP59">
        <f t="shared" si="93"/>
        <v>108.00000000000001</v>
      </c>
      <c r="AQ59" s="469">
        <f t="shared" si="94"/>
        <v>350</v>
      </c>
      <c r="AR59" s="469"/>
      <c r="AS59" s="5">
        <f t="shared" si="55"/>
        <v>2.8571428571428572</v>
      </c>
      <c r="AT59" s="5">
        <f t="shared" si="95"/>
        <v>0.57258810925231662</v>
      </c>
      <c r="AU59" s="5">
        <f t="shared" si="56"/>
        <v>2.2845547478905406</v>
      </c>
      <c r="AV59" s="5">
        <f t="shared" si="96"/>
        <v>0.93560148570639967</v>
      </c>
      <c r="AW59" s="177">
        <f t="shared" si="57"/>
        <v>0.20040583823831082</v>
      </c>
      <c r="AX59" s="177">
        <f t="shared" si="97"/>
        <v>1.9584000000000004</v>
      </c>
      <c r="AY59" s="177">
        <f t="shared" si="98"/>
        <v>0.2930163899214826</v>
      </c>
      <c r="AZ59" s="177">
        <f t="shared" si="58"/>
        <v>6.6835851759854732</v>
      </c>
      <c r="BA59" s="469">
        <f t="shared" si="99"/>
        <v>6.273549245269658</v>
      </c>
      <c r="BB59" s="469">
        <f t="shared" si="100"/>
        <v>0.6996002400000001</v>
      </c>
      <c r="BC59" s="5">
        <f t="shared" si="101"/>
        <v>8.5670803045895277E-2</v>
      </c>
      <c r="BD59" s="469">
        <f t="shared" si="102"/>
        <v>13.887328487343245</v>
      </c>
      <c r="BE59" s="5"/>
      <c r="BF59" s="177">
        <f t="shared" si="59"/>
        <v>0.15785764002626168</v>
      </c>
      <c r="BG59" s="177">
        <f t="shared" si="103"/>
        <v>0.37837852024738755</v>
      </c>
      <c r="BH59" s="177"/>
      <c r="BI59" s="538">
        <f t="shared" si="104"/>
        <v>8.7216620801312834E-3</v>
      </c>
      <c r="BJ59" s="538">
        <f t="shared" si="105"/>
        <v>5.5134585384986799E-2</v>
      </c>
      <c r="BK59" s="538">
        <f t="shared" si="106"/>
        <v>4.3749999999999995E-3</v>
      </c>
      <c r="BL59" s="538">
        <f t="shared" si="107"/>
        <v>4.6565908480000008E-2</v>
      </c>
      <c r="BM59">
        <f t="shared" si="108"/>
        <v>9.2800000000000001E-3</v>
      </c>
      <c r="BN59">
        <f t="shared" si="109"/>
        <v>2.3625000000000002E-5</v>
      </c>
      <c r="BO59" s="538">
        <f t="shared" si="110"/>
        <v>0.12548012124315067</v>
      </c>
      <c r="BP59" s="469">
        <f t="shared" si="60"/>
        <v>125.48012124315066</v>
      </c>
      <c r="BQ59" s="538">
        <f t="shared" si="111"/>
        <v>9.5947056351318227E-2</v>
      </c>
      <c r="BR59" s="538"/>
      <c r="BT59" s="469">
        <f t="shared" si="61"/>
        <v>95.947056351318224</v>
      </c>
      <c r="BU59" s="538">
        <f t="shared" si="112"/>
        <v>2.4919034514660817E-3</v>
      </c>
      <c r="BV59" s="538">
        <f t="shared" si="113"/>
        <v>4.29510913753808E-3</v>
      </c>
      <c r="BW59" s="538">
        <f t="shared" si="114"/>
        <v>0</v>
      </c>
      <c r="BX59" s="538">
        <f t="shared" si="115"/>
        <v>7.6055836350348788E-3</v>
      </c>
      <c r="BY59" s="538">
        <f t="shared" si="116"/>
        <v>6.5280000000000008E-3</v>
      </c>
      <c r="BZ59" s="469">
        <f t="shared" si="62"/>
        <v>14.133583635034881</v>
      </c>
      <c r="CA59" s="177">
        <f t="shared" si="63"/>
        <v>0.23556076122950378</v>
      </c>
      <c r="CB59" s="5">
        <f t="shared" si="64"/>
        <v>1.7280000000000002</v>
      </c>
      <c r="CC59" s="177">
        <f t="shared" si="65"/>
        <v>0.88003388238314306</v>
      </c>
      <c r="CD59" s="5">
        <f t="shared" si="66"/>
        <v>88.003388238314301</v>
      </c>
      <c r="CG59" s="571">
        <f t="shared" si="117"/>
        <v>-50</v>
      </c>
      <c r="CH59">
        <f t="shared" si="118"/>
        <v>-50</v>
      </c>
    </row>
    <row r="60" spans="5:86" x14ac:dyDescent="0.25">
      <c r="E60" s="174">
        <v>55</v>
      </c>
      <c r="F60" s="221">
        <f t="shared" si="119"/>
        <v>0.11000000000000001</v>
      </c>
      <c r="G60" s="221"/>
      <c r="H60" s="221">
        <f t="shared" si="67"/>
        <v>1.7600000000000002</v>
      </c>
      <c r="I60" s="551">
        <f t="shared" si="68"/>
        <v>32</v>
      </c>
      <c r="J60" s="176">
        <f t="shared" si="69"/>
        <v>19.584</v>
      </c>
      <c r="K60" s="451">
        <f t="shared" si="70"/>
        <v>51.584000000000003</v>
      </c>
      <c r="L60" s="451"/>
      <c r="M60" s="221">
        <f t="shared" si="71"/>
        <v>0.37965260545905705</v>
      </c>
      <c r="N60" s="176">
        <f t="shared" si="72"/>
        <v>8.200496277915633</v>
      </c>
      <c r="O60" s="176">
        <f t="shared" si="53"/>
        <v>1.7600000000000002</v>
      </c>
      <c r="P60" s="221">
        <f t="shared" si="73"/>
        <v>0.51253101736972706</v>
      </c>
      <c r="Q60" s="221">
        <f t="shared" si="74"/>
        <v>16</v>
      </c>
      <c r="R60" s="221">
        <f t="shared" si="75"/>
        <v>0.56947890818858549</v>
      </c>
      <c r="S60" s="176">
        <f t="shared" si="76"/>
        <v>169.74714595697168</v>
      </c>
      <c r="T60" s="176">
        <f t="shared" si="77"/>
        <v>16</v>
      </c>
      <c r="U60" s="221">
        <f t="shared" si="78"/>
        <v>0.32193173565722594</v>
      </c>
      <c r="V60" s="221">
        <f t="shared" si="79"/>
        <v>0.30181100217864931</v>
      </c>
      <c r="W60" s="221">
        <f t="shared" si="80"/>
        <v>0.49315523231805442</v>
      </c>
      <c r="X60" s="201">
        <f t="shared" si="81"/>
        <v>350</v>
      </c>
      <c r="Y60" s="451">
        <f t="shared" si="54"/>
        <v>350</v>
      </c>
      <c r="AA60" s="221">
        <f t="shared" si="82"/>
        <v>1.1570365118752215</v>
      </c>
      <c r="AB60" s="177">
        <f t="shared" si="83"/>
        <v>1.7724211272598367</v>
      </c>
      <c r="AC60" s="177">
        <f t="shared" si="84"/>
        <v>0.4306587513183206</v>
      </c>
      <c r="AD60" s="177"/>
      <c r="AE60" s="177">
        <f t="shared" si="85"/>
        <v>0.4595588235294118</v>
      </c>
      <c r="AF60" s="555">
        <f t="shared" si="86"/>
        <v>1329.7777777777781</v>
      </c>
      <c r="AG60" s="538">
        <f t="shared" si="87"/>
        <v>2.8952205882352939E-2</v>
      </c>
      <c r="AI60" s="177">
        <f t="shared" si="88"/>
        <v>0.61638989928170296</v>
      </c>
      <c r="AJ60" s="177">
        <f t="shared" si="89"/>
        <v>0.61638989928170296</v>
      </c>
      <c r="AK60" s="177">
        <f t="shared" si="90"/>
        <v>1.4109265995211353</v>
      </c>
      <c r="AM60" s="555">
        <f t="shared" si="91"/>
        <v>110.00000000000001</v>
      </c>
      <c r="AN60" s="469">
        <f t="shared" si="92"/>
        <v>350</v>
      </c>
      <c r="AP60">
        <f t="shared" si="93"/>
        <v>110.00000000000001</v>
      </c>
      <c r="AQ60">
        <f t="shared" si="94"/>
        <v>350</v>
      </c>
      <c r="AS60" s="5">
        <f t="shared" si="55"/>
        <v>2.8571428571428572</v>
      </c>
      <c r="AT60" s="5">
        <f t="shared" si="95"/>
        <v>0.57786553057659651</v>
      </c>
      <c r="AU60" s="5">
        <f t="shared" si="56"/>
        <v>2.2792773265662607</v>
      </c>
      <c r="AV60" s="5">
        <f t="shared" si="96"/>
        <v>0.94422472316437345</v>
      </c>
      <c r="AW60" s="177">
        <f t="shared" si="57"/>
        <v>0.20225293570180877</v>
      </c>
      <c r="AX60" s="177">
        <f t="shared" si="97"/>
        <v>1.9946666666666664</v>
      </c>
      <c r="AY60" s="177">
        <f t="shared" si="98"/>
        <v>0.2950339395690218</v>
      </c>
      <c r="AZ60" s="177">
        <f t="shared" si="58"/>
        <v>6.7608040945405321</v>
      </c>
      <c r="BA60" s="469">
        <f t="shared" si="99"/>
        <v>6.273549245269658</v>
      </c>
      <c r="BB60" s="469">
        <f t="shared" si="100"/>
        <v>0.71964016666666675</v>
      </c>
      <c r="BC60" s="5">
        <f t="shared" si="101"/>
        <v>8.7055731223016908E-2</v>
      </c>
      <c r="BD60" s="469">
        <f t="shared" si="102"/>
        <v>14.112250329016041</v>
      </c>
      <c r="BE60" s="5"/>
      <c r="BF60" s="177">
        <f t="shared" si="59"/>
        <v>0.16004507085032046</v>
      </c>
      <c r="BG60" s="177">
        <f t="shared" si="103"/>
        <v>0.38142463506767194</v>
      </c>
      <c r="BH60" s="177"/>
      <c r="BI60" s="538">
        <f t="shared" si="104"/>
        <v>8.9650486462194336E-3</v>
      </c>
      <c r="BJ60" s="538">
        <f t="shared" si="105"/>
        <v>5.5642748987957895E-2</v>
      </c>
      <c r="BK60" s="538">
        <f t="shared" si="106"/>
        <v>4.3749999999999995E-3</v>
      </c>
      <c r="BL60" s="538">
        <f t="shared" si="107"/>
        <v>4.6565908480000008E-2</v>
      </c>
      <c r="BM60">
        <f t="shared" si="108"/>
        <v>9.2800000000000001E-3</v>
      </c>
      <c r="BN60">
        <f t="shared" si="109"/>
        <v>2.3625000000000002E-5</v>
      </c>
      <c r="BO60" s="538">
        <f t="shared" si="110"/>
        <v>0.12627147219628235</v>
      </c>
      <c r="BP60" s="469">
        <f t="shared" si="60"/>
        <v>126.27147219628235</v>
      </c>
      <c r="BQ60" s="538">
        <f t="shared" si="111"/>
        <v>9.7595175354345573E-2</v>
      </c>
      <c r="BR60" s="538"/>
      <c r="BT60" s="469">
        <f t="shared" si="61"/>
        <v>97.595175354345571</v>
      </c>
      <c r="BU60" s="538">
        <f t="shared" si="112"/>
        <v>2.5614424703484101E-3</v>
      </c>
      <c r="BV60" s="538">
        <f t="shared" si="113"/>
        <v>4.3645425670952006E-3</v>
      </c>
      <c r="BW60" s="538">
        <f t="shared" si="114"/>
        <v>0</v>
      </c>
      <c r="BX60" s="538">
        <f t="shared" si="115"/>
        <v>7.7614036711925434E-3</v>
      </c>
      <c r="BY60" s="538">
        <f t="shared" si="116"/>
        <v>6.6488888888888891E-3</v>
      </c>
      <c r="BZ60" s="469">
        <f t="shared" si="62"/>
        <v>14.410292560081432</v>
      </c>
      <c r="CA60" s="177">
        <f t="shared" si="63"/>
        <v>0.23827694011070935</v>
      </c>
      <c r="CB60" s="5">
        <f t="shared" si="64"/>
        <v>1.7600000000000002</v>
      </c>
      <c r="CC60" s="177">
        <f t="shared" si="65"/>
        <v>0.88075880008027907</v>
      </c>
      <c r="CD60" s="5">
        <f t="shared" si="66"/>
        <v>88.075880008027909</v>
      </c>
      <c r="CG60" s="571">
        <f t="shared" si="117"/>
        <v>-50</v>
      </c>
      <c r="CH60">
        <f t="shared" si="118"/>
        <v>-50</v>
      </c>
    </row>
    <row r="61" spans="5:86" x14ac:dyDescent="0.25">
      <c r="E61" s="174">
        <v>56</v>
      </c>
      <c r="F61" s="221">
        <f t="shared" si="119"/>
        <v>0.11200000000000002</v>
      </c>
      <c r="G61" s="221"/>
      <c r="H61" s="221">
        <f t="shared" si="67"/>
        <v>1.7920000000000003</v>
      </c>
      <c r="I61" s="551">
        <f t="shared" si="68"/>
        <v>32</v>
      </c>
      <c r="J61" s="176">
        <f t="shared" si="69"/>
        <v>19.584</v>
      </c>
      <c r="K61" s="451">
        <f t="shared" si="70"/>
        <v>51.584000000000003</v>
      </c>
      <c r="L61" s="451"/>
      <c r="M61" s="221">
        <f t="shared" si="71"/>
        <v>0.37965260545905705</v>
      </c>
      <c r="N61" s="176">
        <f t="shared" si="72"/>
        <v>8.200496277915633</v>
      </c>
      <c r="O61" s="176">
        <f t="shared" si="53"/>
        <v>1.7920000000000003</v>
      </c>
      <c r="P61" s="221">
        <f t="shared" si="73"/>
        <v>0.51253101736972706</v>
      </c>
      <c r="Q61" s="221">
        <f t="shared" si="74"/>
        <v>16</v>
      </c>
      <c r="R61" s="221">
        <f t="shared" si="75"/>
        <v>0.56947890818858549</v>
      </c>
      <c r="S61" s="176">
        <f t="shared" si="76"/>
        <v>166.24170845395699</v>
      </c>
      <c r="T61" s="176">
        <f t="shared" si="77"/>
        <v>16</v>
      </c>
      <c r="U61" s="221">
        <f t="shared" si="78"/>
        <v>0.32778503994190278</v>
      </c>
      <c r="V61" s="221">
        <f t="shared" si="79"/>
        <v>0.30729847494553386</v>
      </c>
      <c r="W61" s="221">
        <f t="shared" si="80"/>
        <v>0.50212169108747362</v>
      </c>
      <c r="X61" s="201">
        <f t="shared" si="81"/>
        <v>350</v>
      </c>
      <c r="Y61" s="451">
        <f t="shared" si="54"/>
        <v>350</v>
      </c>
      <c r="AA61" s="221">
        <f t="shared" si="82"/>
        <v>1.1570365118752215</v>
      </c>
      <c r="AB61" s="177">
        <f t="shared" si="83"/>
        <v>1.7724211272598367</v>
      </c>
      <c r="AC61" s="177">
        <f t="shared" si="84"/>
        <v>0.4306587513183206</v>
      </c>
      <c r="AD61" s="177"/>
      <c r="AE61" s="177">
        <f t="shared" si="85"/>
        <v>0.4595588235294118</v>
      </c>
      <c r="AF61" s="555">
        <f t="shared" si="86"/>
        <v>1353.955555555556</v>
      </c>
      <c r="AG61" s="538">
        <f t="shared" si="87"/>
        <v>2.8952205882352939E-2</v>
      </c>
      <c r="AI61" s="177">
        <f t="shared" si="88"/>
        <v>0.62196820211683201</v>
      </c>
      <c r="AJ61" s="177">
        <f t="shared" si="89"/>
        <v>0.62196820211683201</v>
      </c>
      <c r="AK61" s="177">
        <f t="shared" si="90"/>
        <v>1.4146454680778879</v>
      </c>
      <c r="AM61" s="555">
        <f t="shared" si="91"/>
        <v>112.00000000000001</v>
      </c>
      <c r="AN61" s="469">
        <f t="shared" si="92"/>
        <v>350</v>
      </c>
      <c r="AP61">
        <f t="shared" si="93"/>
        <v>112.00000000000001</v>
      </c>
      <c r="AQ61">
        <f t="shared" si="94"/>
        <v>350</v>
      </c>
      <c r="AS61" s="5">
        <f t="shared" si="55"/>
        <v>2.8571428571428572</v>
      </c>
      <c r="AT61" s="5">
        <f t="shared" si="95"/>
        <v>0.5830951894845301</v>
      </c>
      <c r="AU61" s="5">
        <f t="shared" si="56"/>
        <v>2.2740476676583272</v>
      </c>
      <c r="AV61" s="5">
        <f t="shared" si="96"/>
        <v>0.95276991745838235</v>
      </c>
      <c r="AW61" s="177">
        <f t="shared" si="57"/>
        <v>0.20408331631958554</v>
      </c>
      <c r="AX61" s="177">
        <f t="shared" si="97"/>
        <v>2.030933333333333</v>
      </c>
      <c r="AY61" s="177">
        <f t="shared" si="98"/>
        <v>0.29702092127009921</v>
      </c>
      <c r="AZ61" s="177">
        <f t="shared" si="58"/>
        <v>6.8376777118891283</v>
      </c>
      <c r="BA61" s="469">
        <f t="shared" si="99"/>
        <v>6.273549245269658</v>
      </c>
      <c r="BB61" s="469">
        <f t="shared" si="100"/>
        <v>0.73993770666666669</v>
      </c>
      <c r="BC61" s="5">
        <f t="shared" si="101"/>
        <v>8.8435187075601607E-2</v>
      </c>
      <c r="BD61" s="469">
        <f t="shared" si="102"/>
        <v>14.336296598762925</v>
      </c>
      <c r="BE61" s="5"/>
      <c r="BF61" s="177">
        <f t="shared" si="59"/>
        <v>0.16222258075663601</v>
      </c>
      <c r="BG61" s="177">
        <f t="shared" si="103"/>
        <v>0.38443472100573717</v>
      </c>
      <c r="BH61" s="177"/>
      <c r="BI61" s="538">
        <f t="shared" si="104"/>
        <v>9.2106579975701503E-3</v>
      </c>
      <c r="BJ61" s="538">
        <f t="shared" si="105"/>
        <v>5.6146313541490654E-2</v>
      </c>
      <c r="BK61" s="538">
        <f t="shared" si="106"/>
        <v>4.3749999999999995E-3</v>
      </c>
      <c r="BL61" s="538">
        <f t="shared" si="107"/>
        <v>4.6565908480000008E-2</v>
      </c>
      <c r="BM61">
        <f t="shared" si="108"/>
        <v>9.2800000000000001E-3</v>
      </c>
      <c r="BN61">
        <f t="shared" si="109"/>
        <v>2.3625000000000002E-5</v>
      </c>
      <c r="BO61" s="538">
        <f t="shared" si="110"/>
        <v>0.1270608668166259</v>
      </c>
      <c r="BP61" s="469">
        <f t="shared" si="60"/>
        <v>127.0608668166259</v>
      </c>
      <c r="BQ61" s="538">
        <f t="shared" si="111"/>
        <v>9.9239800901037942E-2</v>
      </c>
      <c r="BR61" s="538"/>
      <c r="BT61" s="469">
        <f t="shared" si="61"/>
        <v>99.239800901037938</v>
      </c>
      <c r="BU61" s="538">
        <f t="shared" si="112"/>
        <v>2.6316165707343294E-3</v>
      </c>
      <c r="BV61" s="538">
        <f t="shared" si="113"/>
        <v>4.4337016414427695E-3</v>
      </c>
      <c r="BW61" s="538">
        <f t="shared" si="114"/>
        <v>0</v>
      </c>
      <c r="BX61" s="538">
        <f t="shared" si="115"/>
        <v>7.9176316446028256E-3</v>
      </c>
      <c r="BY61" s="538">
        <f t="shared" si="116"/>
        <v>6.7697777777777773E-3</v>
      </c>
      <c r="BZ61" s="469">
        <f t="shared" si="62"/>
        <v>14.687409422380602</v>
      </c>
      <c r="CA61" s="177">
        <f t="shared" si="63"/>
        <v>0.24098807714004444</v>
      </c>
      <c r="CB61" s="5">
        <f t="shared" si="64"/>
        <v>1.7920000000000003</v>
      </c>
      <c r="CC61" s="177">
        <f t="shared" si="65"/>
        <v>0.88146114586217339</v>
      </c>
      <c r="CD61" s="5">
        <f t="shared" si="66"/>
        <v>88.146114586217337</v>
      </c>
      <c r="CG61" s="571">
        <f t="shared" si="117"/>
        <v>-50</v>
      </c>
      <c r="CH61">
        <f t="shared" si="118"/>
        <v>-50</v>
      </c>
    </row>
    <row r="62" spans="5:86" x14ac:dyDescent="0.25">
      <c r="E62" s="174">
        <v>57</v>
      </c>
      <c r="F62" s="221">
        <f t="shared" si="119"/>
        <v>0.11399999999999999</v>
      </c>
      <c r="G62" s="221"/>
      <c r="H62" s="221">
        <f t="shared" si="67"/>
        <v>1.8239999999999998</v>
      </c>
      <c r="I62" s="551">
        <f t="shared" si="68"/>
        <v>32</v>
      </c>
      <c r="J62" s="176">
        <f t="shared" si="69"/>
        <v>19.584</v>
      </c>
      <c r="K62" s="451">
        <f t="shared" si="70"/>
        <v>51.584000000000003</v>
      </c>
      <c r="L62" s="451"/>
      <c r="M62" s="221">
        <f t="shared" si="71"/>
        <v>0.37965260545905705</v>
      </c>
      <c r="N62" s="176">
        <f t="shared" si="72"/>
        <v>8.200496277915633</v>
      </c>
      <c r="O62" s="176">
        <f t="shared" si="53"/>
        <v>1.8239999999999998</v>
      </c>
      <c r="P62" s="221">
        <f t="shared" si="73"/>
        <v>0.51253101736972706</v>
      </c>
      <c r="Q62" s="221">
        <f t="shared" si="74"/>
        <v>16</v>
      </c>
      <c r="R62" s="221">
        <f t="shared" si="75"/>
        <v>0.56947890818858549</v>
      </c>
      <c r="S62" s="176">
        <f t="shared" si="76"/>
        <v>162.85931175469787</v>
      </c>
      <c r="T62" s="176">
        <f t="shared" si="77"/>
        <v>16</v>
      </c>
      <c r="U62" s="221">
        <f t="shared" si="78"/>
        <v>0.33363834422657951</v>
      </c>
      <c r="V62" s="221">
        <f t="shared" si="79"/>
        <v>0.3127859477124183</v>
      </c>
      <c r="W62" s="221">
        <f t="shared" si="80"/>
        <v>0.51108814985689255</v>
      </c>
      <c r="X62" s="201">
        <f t="shared" si="81"/>
        <v>350</v>
      </c>
      <c r="Y62" s="451">
        <f t="shared" si="54"/>
        <v>350</v>
      </c>
      <c r="AA62" s="221">
        <f t="shared" si="82"/>
        <v>1.1570365118752215</v>
      </c>
      <c r="AB62" s="177">
        <f t="shared" si="83"/>
        <v>1.7724211272598367</v>
      </c>
      <c r="AC62" s="177">
        <f t="shared" si="84"/>
        <v>0.4306587513183206</v>
      </c>
      <c r="AD62" s="177"/>
      <c r="AE62" s="177">
        <f t="shared" si="85"/>
        <v>0.4595588235294118</v>
      </c>
      <c r="AF62" s="555">
        <f t="shared" si="86"/>
        <v>1378.1333333333332</v>
      </c>
      <c r="AG62" s="538">
        <f t="shared" si="87"/>
        <v>2.8952205882352939E-2</v>
      </c>
      <c r="AI62" s="177">
        <f t="shared" si="88"/>
        <v>0.62749691708595734</v>
      </c>
      <c r="AJ62" s="177">
        <f t="shared" si="89"/>
        <v>0.62749691708595734</v>
      </c>
      <c r="AK62" s="177">
        <f t="shared" si="90"/>
        <v>1.418331278057305</v>
      </c>
      <c r="AM62" s="555">
        <f t="shared" si="91"/>
        <v>113.99999999999999</v>
      </c>
      <c r="AN62" s="469">
        <f t="shared" si="92"/>
        <v>350</v>
      </c>
      <c r="AP62">
        <f t="shared" si="93"/>
        <v>113.99999999999999</v>
      </c>
      <c r="AQ62">
        <f t="shared" si="94"/>
        <v>350</v>
      </c>
      <c r="AS62" s="5">
        <f t="shared" si="55"/>
        <v>2.8571428571428572</v>
      </c>
      <c r="AT62" s="5">
        <f t="shared" si="95"/>
        <v>0.58827835976808507</v>
      </c>
      <c r="AU62" s="5">
        <f t="shared" si="56"/>
        <v>2.2688644973747722</v>
      </c>
      <c r="AV62" s="5">
        <f t="shared" si="96"/>
        <v>0.96123914994785131</v>
      </c>
      <c r="AW62" s="177">
        <f t="shared" si="57"/>
        <v>0.20589742591882976</v>
      </c>
      <c r="AX62" s="177">
        <f t="shared" si="97"/>
        <v>2.0671999999999993</v>
      </c>
      <c r="AY62" s="177">
        <f t="shared" si="98"/>
        <v>0.29897815025157443</v>
      </c>
      <c r="AZ62" s="177">
        <f t="shared" si="58"/>
        <v>6.9142176385149181</v>
      </c>
      <c r="BA62" s="469">
        <f t="shared" si="99"/>
        <v>6.273549245269658</v>
      </c>
      <c r="BB62" s="469">
        <f t="shared" si="100"/>
        <v>0.76049285999999983</v>
      </c>
      <c r="BC62" s="5">
        <f t="shared" si="101"/>
        <v>8.9809219687751393E-2</v>
      </c>
      <c r="BD62" s="469">
        <f t="shared" si="102"/>
        <v>14.559475150040223</v>
      </c>
      <c r="BE62" s="5"/>
      <c r="BF62" s="177">
        <f t="shared" si="59"/>
        <v>0.16439039072434217</v>
      </c>
      <c r="BG62" s="177">
        <f t="shared" si="103"/>
        <v>0.38740972373849891</v>
      </c>
      <c r="BH62" s="177"/>
      <c r="BI62" s="538">
        <f t="shared" si="104"/>
        <v>9.4584701968756582E-3</v>
      </c>
      <c r="BJ62" s="538">
        <f t="shared" si="105"/>
        <v>5.6645401699183549E-2</v>
      </c>
      <c r="BK62" s="538">
        <f t="shared" si="106"/>
        <v>4.3749999999999995E-3</v>
      </c>
      <c r="BL62" s="538">
        <f t="shared" si="107"/>
        <v>4.6565908480000008E-2</v>
      </c>
      <c r="BM62">
        <f t="shared" si="108"/>
        <v>9.2800000000000001E-3</v>
      </c>
      <c r="BN62">
        <f t="shared" si="109"/>
        <v>2.3625000000000002E-5</v>
      </c>
      <c r="BO62" s="538">
        <f t="shared" si="110"/>
        <v>0.12784840553917004</v>
      </c>
      <c r="BP62" s="469">
        <f t="shared" si="60"/>
        <v>127.84840553917005</v>
      </c>
      <c r="BQ62" s="538">
        <f t="shared" si="111"/>
        <v>0.1008809643260075</v>
      </c>
      <c r="BR62" s="538"/>
      <c r="BT62" s="469">
        <f t="shared" si="61"/>
        <v>100.8809643260075</v>
      </c>
      <c r="BU62" s="538">
        <f t="shared" si="112"/>
        <v>2.7024200562501886E-3</v>
      </c>
      <c r="BV62" s="538">
        <f t="shared" si="113"/>
        <v>4.5025888214142015E-3</v>
      </c>
      <c r="BW62" s="538">
        <f t="shared" si="114"/>
        <v>0</v>
      </c>
      <c r="BX62" s="538">
        <f t="shared" si="115"/>
        <v>8.0742639544619174E-3</v>
      </c>
      <c r="BY62" s="538">
        <f t="shared" si="116"/>
        <v>6.8906666666666647E-3</v>
      </c>
      <c r="BZ62" s="469">
        <f t="shared" si="62"/>
        <v>14.964930621128582</v>
      </c>
      <c r="CA62" s="177">
        <f t="shared" si="63"/>
        <v>0.24369430048630614</v>
      </c>
      <c r="CB62" s="5">
        <f t="shared" si="64"/>
        <v>1.8239999999999998</v>
      </c>
      <c r="CC62" s="177">
        <f t="shared" si="65"/>
        <v>0.88214200695480416</v>
      </c>
      <c r="CD62" s="5">
        <f t="shared" si="66"/>
        <v>88.214200695480415</v>
      </c>
      <c r="CG62" s="571">
        <f t="shared" si="117"/>
        <v>-50</v>
      </c>
      <c r="CH62">
        <f t="shared" si="118"/>
        <v>-50</v>
      </c>
    </row>
    <row r="63" spans="5:86" x14ac:dyDescent="0.25">
      <c r="E63" s="174">
        <v>58</v>
      </c>
      <c r="F63" s="221">
        <f t="shared" si="119"/>
        <v>0.11599999999999999</v>
      </c>
      <c r="G63" s="221"/>
      <c r="H63" s="221">
        <f t="shared" si="67"/>
        <v>1.8559999999999999</v>
      </c>
      <c r="I63" s="551">
        <f t="shared" si="68"/>
        <v>32</v>
      </c>
      <c r="J63" s="176">
        <f t="shared" si="69"/>
        <v>19.584</v>
      </c>
      <c r="K63" s="451">
        <f t="shared" si="70"/>
        <v>51.584000000000003</v>
      </c>
      <c r="L63" s="451"/>
      <c r="M63" s="221">
        <f t="shared" si="71"/>
        <v>0.37965260545905705</v>
      </c>
      <c r="N63" s="176">
        <f t="shared" si="72"/>
        <v>8.200496277915633</v>
      </c>
      <c r="O63" s="176">
        <f t="shared" si="53"/>
        <v>1.8559999999999999</v>
      </c>
      <c r="P63" s="221">
        <f t="shared" si="73"/>
        <v>0.51253101736972706</v>
      </c>
      <c r="Q63" s="221">
        <f t="shared" si="74"/>
        <v>16</v>
      </c>
      <c r="R63" s="221">
        <f t="shared" si="75"/>
        <v>0.56947890818858549</v>
      </c>
      <c r="S63" s="176">
        <f t="shared" si="76"/>
        <v>159.59359203660856</v>
      </c>
      <c r="T63" s="176">
        <f t="shared" si="77"/>
        <v>16</v>
      </c>
      <c r="U63" s="221">
        <f t="shared" si="78"/>
        <v>0.33949164851125635</v>
      </c>
      <c r="V63" s="221">
        <f t="shared" si="79"/>
        <v>0.31827342047930285</v>
      </c>
      <c r="W63" s="221">
        <f t="shared" si="80"/>
        <v>0.52005460862631181</v>
      </c>
      <c r="X63" s="201">
        <f t="shared" si="81"/>
        <v>350</v>
      </c>
      <c r="Y63" s="451">
        <f t="shared" si="54"/>
        <v>350</v>
      </c>
      <c r="AA63" s="221">
        <f t="shared" si="82"/>
        <v>1.1570365118752215</v>
      </c>
      <c r="AB63" s="177">
        <f t="shared" si="83"/>
        <v>1.7724211272598367</v>
      </c>
      <c r="AC63" s="177">
        <f t="shared" si="84"/>
        <v>0.4306587513183206</v>
      </c>
      <c r="AD63" s="177"/>
      <c r="AE63" s="177">
        <f t="shared" si="85"/>
        <v>0.4595588235294118</v>
      </c>
      <c r="AF63" s="555">
        <f t="shared" si="86"/>
        <v>1402.3111111111111</v>
      </c>
      <c r="AG63" s="538">
        <f t="shared" si="87"/>
        <v>2.8952205882352939E-2</v>
      </c>
      <c r="AI63" s="177">
        <f t="shared" si="88"/>
        <v>0.6329773435600341</v>
      </c>
      <c r="AJ63" s="177">
        <f t="shared" si="89"/>
        <v>0.6329773435600341</v>
      </c>
      <c r="AK63" s="177">
        <f t="shared" si="90"/>
        <v>1.4219848957066894</v>
      </c>
      <c r="AM63" s="555">
        <f t="shared" si="91"/>
        <v>115.99999999999999</v>
      </c>
      <c r="AN63" s="469">
        <f t="shared" si="92"/>
        <v>350</v>
      </c>
      <c r="AP63">
        <f t="shared" si="93"/>
        <v>115.99999999999999</v>
      </c>
      <c r="AQ63">
        <f t="shared" si="94"/>
        <v>350</v>
      </c>
      <c r="AS63" s="5">
        <f t="shared" si="55"/>
        <v>2.8571428571428572</v>
      </c>
      <c r="AT63" s="5">
        <f t="shared" si="95"/>
        <v>0.59341625958753208</v>
      </c>
      <c r="AU63" s="5">
        <f t="shared" si="56"/>
        <v>2.2637265975553253</v>
      </c>
      <c r="AV63" s="5">
        <f t="shared" si="96"/>
        <v>0.96963441109073856</v>
      </c>
      <c r="AW63" s="177">
        <f t="shared" si="57"/>
        <v>0.20769569085563622</v>
      </c>
      <c r="AX63" s="177">
        <f t="shared" si="97"/>
        <v>2.1034666666666668</v>
      </c>
      <c r="AY63" s="177">
        <f t="shared" si="98"/>
        <v>0.30090640613602043</v>
      </c>
      <c r="AZ63" s="177">
        <f t="shared" si="58"/>
        <v>6.9904349783627566</v>
      </c>
      <c r="BA63" s="469">
        <f t="shared" si="99"/>
        <v>6.273549245269658</v>
      </c>
      <c r="BB63" s="469">
        <f t="shared" si="100"/>
        <v>0.78130562666666648</v>
      </c>
      <c r="BC63" s="5">
        <f t="shared" si="101"/>
        <v>9.1177876845978362E-2</v>
      </c>
      <c r="BD63" s="469">
        <f t="shared" si="102"/>
        <v>14.781793628689872</v>
      </c>
      <c r="BE63" s="5"/>
      <c r="BF63" s="177">
        <f t="shared" si="59"/>
        <v>0.16654871302750951</v>
      </c>
      <c r="BG63" s="177">
        <f t="shared" si="103"/>
        <v>0.39035054770416294</v>
      </c>
      <c r="BH63" s="177"/>
      <c r="BI63" s="538">
        <f t="shared" si="104"/>
        <v>9.7084658338918994E-3</v>
      </c>
      <c r="BJ63" s="538">
        <f t="shared" si="105"/>
        <v>5.7140130757851404E-2</v>
      </c>
      <c r="BK63" s="538">
        <f t="shared" si="106"/>
        <v>4.3749999999999995E-3</v>
      </c>
      <c r="BL63" s="538">
        <f t="shared" si="107"/>
        <v>4.6565908480000008E-2</v>
      </c>
      <c r="BM63">
        <f t="shared" si="108"/>
        <v>9.2800000000000001E-3</v>
      </c>
      <c r="BN63">
        <f t="shared" si="109"/>
        <v>2.3625000000000002E-5</v>
      </c>
      <c r="BO63" s="538">
        <f t="shared" si="110"/>
        <v>0.12863418404649216</v>
      </c>
      <c r="BP63" s="469">
        <f t="shared" si="60"/>
        <v>128.63418404649215</v>
      </c>
      <c r="BQ63" s="538">
        <f t="shared" si="111"/>
        <v>0.10251869613550309</v>
      </c>
      <c r="BR63" s="538"/>
      <c r="BT63" s="469">
        <f t="shared" si="61"/>
        <v>102.51869613550309</v>
      </c>
      <c r="BU63" s="538">
        <f t="shared" si="112"/>
        <v>2.7738473811119717E-3</v>
      </c>
      <c r="BV63" s="538">
        <f t="shared" si="113"/>
        <v>4.5712065027881995E-3</v>
      </c>
      <c r="BW63" s="538">
        <f t="shared" si="114"/>
        <v>0</v>
      </c>
      <c r="BX63" s="538">
        <f t="shared" si="115"/>
        <v>8.2312970956243316E-3</v>
      </c>
      <c r="BY63" s="538">
        <f t="shared" si="116"/>
        <v>7.0115555555555556E-3</v>
      </c>
      <c r="BZ63" s="469">
        <f t="shared" si="62"/>
        <v>15.242852651179888</v>
      </c>
      <c r="CA63" s="177">
        <f t="shared" si="63"/>
        <v>0.24639573283317515</v>
      </c>
      <c r="CB63" s="5">
        <f t="shared" si="64"/>
        <v>1.8559999999999999</v>
      </c>
      <c r="CC63" s="177">
        <f t="shared" si="65"/>
        <v>0.88280240062077475</v>
      </c>
      <c r="CD63" s="5">
        <f t="shared" si="66"/>
        <v>88.280240062077482</v>
      </c>
      <c r="CG63" s="571">
        <f t="shared" si="117"/>
        <v>-50</v>
      </c>
      <c r="CH63">
        <f t="shared" si="118"/>
        <v>-50</v>
      </c>
    </row>
    <row r="64" spans="5:86" x14ac:dyDescent="0.25">
      <c r="E64" s="174">
        <v>59</v>
      </c>
      <c r="F64" s="221">
        <f t="shared" si="119"/>
        <v>0.11799999999999999</v>
      </c>
      <c r="G64" s="221"/>
      <c r="H64" s="221">
        <f t="shared" si="67"/>
        <v>1.8879999999999999</v>
      </c>
      <c r="I64" s="551">
        <f t="shared" si="68"/>
        <v>32</v>
      </c>
      <c r="J64" s="176">
        <f t="shared" si="69"/>
        <v>19.584</v>
      </c>
      <c r="K64" s="451">
        <f t="shared" si="70"/>
        <v>51.584000000000003</v>
      </c>
      <c r="L64" s="451"/>
      <c r="M64" s="221">
        <f t="shared" si="71"/>
        <v>0.37965260545905705</v>
      </c>
      <c r="N64" s="176">
        <f t="shared" si="72"/>
        <v>8.200496277915633</v>
      </c>
      <c r="O64" s="176">
        <f t="shared" si="53"/>
        <v>1.8879999999999999</v>
      </c>
      <c r="P64" s="221">
        <f t="shared" si="73"/>
        <v>0.51253101736972706</v>
      </c>
      <c r="Q64" s="221">
        <f t="shared" si="74"/>
        <v>16</v>
      </c>
      <c r="R64" s="221">
        <f t="shared" si="75"/>
        <v>0.56947890818858549</v>
      </c>
      <c r="S64" s="176">
        <f t="shared" si="76"/>
        <v>156.4386169265978</v>
      </c>
      <c r="T64" s="176">
        <f t="shared" si="77"/>
        <v>16</v>
      </c>
      <c r="U64" s="221">
        <f t="shared" si="78"/>
        <v>0.34534495279593319</v>
      </c>
      <c r="V64" s="221">
        <f t="shared" si="79"/>
        <v>0.32376089324618734</v>
      </c>
      <c r="W64" s="221">
        <f t="shared" si="80"/>
        <v>0.52902106739573096</v>
      </c>
      <c r="X64" s="201">
        <f t="shared" si="81"/>
        <v>350</v>
      </c>
      <c r="Y64" s="451">
        <f t="shared" si="54"/>
        <v>350</v>
      </c>
      <c r="AA64" s="221">
        <f t="shared" si="82"/>
        <v>1.1570365118752215</v>
      </c>
      <c r="AB64" s="177">
        <f t="shared" si="83"/>
        <v>1.7724211272598367</v>
      </c>
      <c r="AC64" s="177">
        <f t="shared" si="84"/>
        <v>0.4306587513183206</v>
      </c>
      <c r="AD64" s="177"/>
      <c r="AE64" s="177">
        <f t="shared" si="85"/>
        <v>0.4595588235294118</v>
      </c>
      <c r="AF64" s="555">
        <f t="shared" si="86"/>
        <v>1426.4888888888891</v>
      </c>
      <c r="AG64" s="538">
        <f t="shared" si="87"/>
        <v>2.8952205882352939E-2</v>
      </c>
      <c r="AI64" s="177">
        <f t="shared" si="88"/>
        <v>0.63841072513567154</v>
      </c>
      <c r="AJ64" s="177">
        <f t="shared" si="89"/>
        <v>0.63841072513567154</v>
      </c>
      <c r="AK64" s="177">
        <f t="shared" si="90"/>
        <v>1.4256071500904477</v>
      </c>
      <c r="AM64" s="555">
        <f t="shared" si="91"/>
        <v>118</v>
      </c>
      <c r="AN64" s="469">
        <f t="shared" si="92"/>
        <v>350</v>
      </c>
      <c r="AP64">
        <f t="shared" si="93"/>
        <v>118</v>
      </c>
      <c r="AQ64">
        <f t="shared" si="94"/>
        <v>350</v>
      </c>
      <c r="AS64" s="5">
        <f t="shared" si="55"/>
        <v>2.8571428571428572</v>
      </c>
      <c r="AT64" s="5">
        <f t="shared" si="95"/>
        <v>0.59851005481469211</v>
      </c>
      <c r="AU64" s="5">
        <f t="shared" si="56"/>
        <v>2.2586328023281652</v>
      </c>
      <c r="AV64" s="5">
        <f t="shared" si="96"/>
        <v>0.97795760590635961</v>
      </c>
      <c r="AW64" s="177">
        <f t="shared" si="57"/>
        <v>0.20947851918514224</v>
      </c>
      <c r="AX64" s="177">
        <f t="shared" si="97"/>
        <v>2.1397333333333335</v>
      </c>
      <c r="AY64" s="177">
        <f t="shared" si="98"/>
        <v>0.30280643508140287</v>
      </c>
      <c r="AZ64" s="177">
        <f t="shared" si="58"/>
        <v>7.0663403595042924</v>
      </c>
      <c r="BA64" s="469">
        <f t="shared" si="99"/>
        <v>6.273549245269658</v>
      </c>
      <c r="BB64" s="469">
        <f t="shared" si="100"/>
        <v>0.80237600666666653</v>
      </c>
      <c r="BC64" s="5">
        <f t="shared" si="101"/>
        <v>9.2541205095390086E-2</v>
      </c>
      <c r="BD64" s="469">
        <f t="shared" si="102"/>
        <v>15.003259481929081</v>
      </c>
      <c r="BE64" s="5"/>
      <c r="BF64" s="177">
        <f t="shared" si="59"/>
        <v>0.16869775172197152</v>
      </c>
      <c r="BG64" s="177">
        <f t="shared" si="103"/>
        <v>0.39325805857840068</v>
      </c>
      <c r="BH64" s="177"/>
      <c r="BI64" s="538">
        <f t="shared" si="104"/>
        <v>9.9606260026167803E-3</v>
      </c>
      <c r="BJ64" s="538">
        <f t="shared" si="105"/>
        <v>5.763061297944734E-2</v>
      </c>
      <c r="BK64" s="538">
        <f t="shared" si="106"/>
        <v>4.3749999999999995E-3</v>
      </c>
      <c r="BL64" s="538">
        <f t="shared" si="107"/>
        <v>4.6565908480000008E-2</v>
      </c>
      <c r="BM64">
        <f t="shared" si="108"/>
        <v>9.2800000000000001E-3</v>
      </c>
      <c r="BN64">
        <f t="shared" si="109"/>
        <v>2.3625000000000002E-5</v>
      </c>
      <c r="BO64" s="538">
        <f t="shared" si="110"/>
        <v>0.12941829356452458</v>
      </c>
      <c r="BP64" s="469">
        <f t="shared" si="60"/>
        <v>129.41829356452459</v>
      </c>
      <c r="BQ64" s="538">
        <f t="shared" si="111"/>
        <v>0.10415302604327779</v>
      </c>
      <c r="BR64" s="538"/>
      <c r="BT64" s="469">
        <f t="shared" si="61"/>
        <v>104.15302604327779</v>
      </c>
      <c r="BU64" s="538">
        <f t="shared" si="112"/>
        <v>2.8458931436047947E-3</v>
      </c>
      <c r="BV64" s="538">
        <f t="shared" si="113"/>
        <v>4.6395570191055851E-3</v>
      </c>
      <c r="BW64" s="538">
        <f t="shared" si="114"/>
        <v>0</v>
      </c>
      <c r="BX64" s="538">
        <f t="shared" si="115"/>
        <v>8.3887276544585068E-3</v>
      </c>
      <c r="BY64" s="538">
        <f t="shared" si="116"/>
        <v>7.1324444444444447E-3</v>
      </c>
      <c r="BZ64" s="469">
        <f t="shared" si="62"/>
        <v>15.521172098902952</v>
      </c>
      <c r="CA64" s="177">
        <f t="shared" si="63"/>
        <v>0.2490924917067053</v>
      </c>
      <c r="CB64" s="5">
        <f t="shared" si="64"/>
        <v>1.8879999999999999</v>
      </c>
      <c r="CC64" s="177">
        <f t="shared" si="65"/>
        <v>0.88344327974884362</v>
      </c>
      <c r="CD64" s="5">
        <f t="shared" si="66"/>
        <v>88.344327974884365</v>
      </c>
      <c r="CG64" s="571">
        <f t="shared" si="117"/>
        <v>-50</v>
      </c>
      <c r="CH64">
        <f t="shared" si="118"/>
        <v>-50</v>
      </c>
    </row>
    <row r="65" spans="5:86" x14ac:dyDescent="0.25">
      <c r="E65" s="174">
        <v>60</v>
      </c>
      <c r="F65" s="221">
        <f t="shared" si="119"/>
        <v>0.12</v>
      </c>
      <c r="G65" s="221"/>
      <c r="H65" s="221">
        <f t="shared" si="67"/>
        <v>1.92</v>
      </c>
      <c r="I65" s="551">
        <f t="shared" si="68"/>
        <v>32</v>
      </c>
      <c r="J65" s="176">
        <f t="shared" si="69"/>
        <v>19.584</v>
      </c>
      <c r="K65" s="451">
        <f t="shared" si="70"/>
        <v>51.584000000000003</v>
      </c>
      <c r="L65" s="451"/>
      <c r="M65" s="221">
        <f t="shared" si="71"/>
        <v>0.37965260545905705</v>
      </c>
      <c r="N65" s="176">
        <f t="shared" si="72"/>
        <v>8.200496277915633</v>
      </c>
      <c r="O65" s="176">
        <f t="shared" si="53"/>
        <v>1.92</v>
      </c>
      <c r="P65" s="221">
        <f t="shared" si="73"/>
        <v>0.51253101736972706</v>
      </c>
      <c r="Q65" s="221">
        <f t="shared" si="74"/>
        <v>16</v>
      </c>
      <c r="R65" s="221">
        <f t="shared" si="75"/>
        <v>0.56947890818858549</v>
      </c>
      <c r="S65" s="176">
        <f t="shared" si="76"/>
        <v>153.38884954699625</v>
      </c>
      <c r="T65" s="176">
        <f t="shared" si="77"/>
        <v>16</v>
      </c>
      <c r="U65" s="221">
        <f t="shared" si="78"/>
        <v>0.35119825708061003</v>
      </c>
      <c r="V65" s="221">
        <f t="shared" si="79"/>
        <v>0.32924836601307189</v>
      </c>
      <c r="W65" s="221">
        <f t="shared" si="80"/>
        <v>0.53798752616515022</v>
      </c>
      <c r="X65" s="201">
        <f t="shared" si="81"/>
        <v>350</v>
      </c>
      <c r="Y65" s="451">
        <f t="shared" si="54"/>
        <v>350</v>
      </c>
      <c r="AA65" s="221">
        <f t="shared" si="82"/>
        <v>1.1570365118752215</v>
      </c>
      <c r="AB65" s="177">
        <f t="shared" si="83"/>
        <v>1.7724211272598367</v>
      </c>
      <c r="AC65" s="177">
        <f t="shared" si="84"/>
        <v>0.4306587513183206</v>
      </c>
      <c r="AD65" s="177"/>
      <c r="AE65" s="177">
        <f t="shared" si="85"/>
        <v>0.4595588235294118</v>
      </c>
      <c r="AF65" s="555">
        <f t="shared" si="86"/>
        <v>1450.6666666666667</v>
      </c>
      <c r="AG65" s="538">
        <f t="shared" si="87"/>
        <v>2.8952205882352939E-2</v>
      </c>
      <c r="AI65" s="177">
        <f t="shared" si="88"/>
        <v>0.64379825293036519</v>
      </c>
      <c r="AJ65" s="177">
        <f t="shared" si="89"/>
        <v>0.64379825293036519</v>
      </c>
      <c r="AK65" s="177">
        <f t="shared" si="90"/>
        <v>1.4291988352869101</v>
      </c>
      <c r="AM65" s="555">
        <f t="shared" si="91"/>
        <v>120</v>
      </c>
      <c r="AN65" s="469">
        <f t="shared" si="92"/>
        <v>350</v>
      </c>
      <c r="AP65">
        <f t="shared" si="93"/>
        <v>120</v>
      </c>
      <c r="AQ65">
        <f t="shared" si="94"/>
        <v>350</v>
      </c>
      <c r="AS65" s="5">
        <f t="shared" si="55"/>
        <v>2.8571428571428572</v>
      </c>
      <c r="AT65" s="5">
        <f t="shared" si="95"/>
        <v>0.60356086212221738</v>
      </c>
      <c r="AU65" s="5">
        <f t="shared" si="56"/>
        <v>2.2535819950206397</v>
      </c>
      <c r="AV65" s="5">
        <f t="shared" si="96"/>
        <v>0.98621055902323096</v>
      </c>
      <c r="AW65" s="177">
        <f t="shared" si="57"/>
        <v>0.21124630174277609</v>
      </c>
      <c r="AX65" s="177">
        <f t="shared" si="97"/>
        <v>2.1759999999999997</v>
      </c>
      <c r="AY65" s="177">
        <f t="shared" si="98"/>
        <v>0.30467895175821907</v>
      </c>
      <c r="AZ65" s="177">
        <f t="shared" si="58"/>
        <v>7.1419439624657288</v>
      </c>
      <c r="BA65" s="469">
        <f t="shared" si="99"/>
        <v>6.273549245269658</v>
      </c>
      <c r="BB65" s="469">
        <f t="shared" si="100"/>
        <v>0.82370399999999988</v>
      </c>
      <c r="BC65" s="5">
        <f t="shared" si="101"/>
        <v>9.3899249792526659E-2</v>
      </c>
      <c r="BD65" s="469">
        <f t="shared" si="102"/>
        <v>15.223879966804265</v>
      </c>
      <c r="BE65" s="5"/>
      <c r="BF65" s="177">
        <f t="shared" si="59"/>
        <v>0.17083770309714974</v>
      </c>
      <c r="BG65" s="177">
        <f t="shared" si="103"/>
        <v>0.39613308556251287</v>
      </c>
      <c r="BH65" s="177"/>
      <c r="BI65" s="538">
        <f t="shared" si="104"/>
        <v>1.0214932279828459E-2</v>
      </c>
      <c r="BJ65" s="538">
        <f t="shared" si="105"/>
        <v>5.8116955888529935E-2</v>
      </c>
      <c r="BK65" s="538">
        <f t="shared" si="106"/>
        <v>4.3749999999999995E-3</v>
      </c>
      <c r="BL65" s="538">
        <f t="shared" si="107"/>
        <v>4.6565908480000008E-2</v>
      </c>
      <c r="BM65">
        <f t="shared" si="108"/>
        <v>9.2800000000000001E-3</v>
      </c>
      <c r="BN65">
        <f t="shared" si="109"/>
        <v>2.3625000000000002E-5</v>
      </c>
      <c r="BO65" s="538">
        <f t="shared" si="110"/>
        <v>0.13020082113542503</v>
      </c>
      <c r="BP65" s="469">
        <f t="shared" si="60"/>
        <v>130.20082113542503</v>
      </c>
      <c r="BQ65" s="538">
        <f t="shared" si="111"/>
        <v>0.10578398300431988</v>
      </c>
      <c r="BR65" s="538"/>
      <c r="BT65" s="469">
        <f t="shared" si="61"/>
        <v>105.78398300431988</v>
      </c>
      <c r="BU65" s="538">
        <f t="shared" si="112"/>
        <v>2.9185520799509886E-3</v>
      </c>
      <c r="BV65" s="538">
        <f t="shared" si="113"/>
        <v>4.7076426443183137E-3</v>
      </c>
      <c r="BW65" s="538">
        <f t="shared" si="114"/>
        <v>0</v>
      </c>
      <c r="BX65" s="538">
        <f t="shared" si="115"/>
        <v>8.5465523049495142E-3</v>
      </c>
      <c r="BY65" s="538">
        <f t="shared" si="116"/>
        <v>7.2533333333333339E-3</v>
      </c>
      <c r="BZ65" s="469">
        <f t="shared" si="62"/>
        <v>15.79988563828285</v>
      </c>
      <c r="CA65" s="177">
        <f t="shared" si="63"/>
        <v>0.25178468977802776</v>
      </c>
      <c r="CB65" s="5">
        <f t="shared" si="64"/>
        <v>1.92</v>
      </c>
      <c r="CC65" s="177">
        <f t="shared" si="65"/>
        <v>0.88406553791307829</v>
      </c>
      <c r="CD65" s="5">
        <f t="shared" si="66"/>
        <v>88.406553791307829</v>
      </c>
      <c r="CG65" s="571">
        <f t="shared" si="117"/>
        <v>-50</v>
      </c>
      <c r="CH65">
        <f t="shared" si="118"/>
        <v>-50</v>
      </c>
    </row>
    <row r="66" spans="5:86" x14ac:dyDescent="0.25">
      <c r="E66" s="174">
        <v>61</v>
      </c>
      <c r="F66" s="221">
        <f t="shared" si="119"/>
        <v>0.122</v>
      </c>
      <c r="G66" s="221"/>
      <c r="H66" s="221">
        <f t="shared" si="67"/>
        <v>1.952</v>
      </c>
      <c r="I66" s="551">
        <f t="shared" si="68"/>
        <v>32</v>
      </c>
      <c r="J66" s="176">
        <f t="shared" si="69"/>
        <v>19.584</v>
      </c>
      <c r="K66" s="451">
        <f t="shared" si="70"/>
        <v>51.584000000000003</v>
      </c>
      <c r="L66" s="451"/>
      <c r="M66" s="221">
        <f t="shared" si="71"/>
        <v>0.37965260545905705</v>
      </c>
      <c r="N66" s="176">
        <f t="shared" si="72"/>
        <v>8.200496277915633</v>
      </c>
      <c r="O66" s="176">
        <f t="shared" si="53"/>
        <v>1.952</v>
      </c>
      <c r="P66" s="221">
        <f t="shared" si="73"/>
        <v>0.51253101736972706</v>
      </c>
      <c r="Q66" s="221">
        <f t="shared" si="74"/>
        <v>16</v>
      </c>
      <c r="R66" s="221">
        <f t="shared" si="75"/>
        <v>0.56947890818858549</v>
      </c>
      <c r="S66" s="176">
        <f t="shared" si="76"/>
        <v>150.43911609795163</v>
      </c>
      <c r="T66" s="176">
        <f t="shared" si="77"/>
        <v>16</v>
      </c>
      <c r="U66" s="221">
        <f t="shared" si="78"/>
        <v>0.35705156136528687</v>
      </c>
      <c r="V66" s="221">
        <f t="shared" si="79"/>
        <v>0.33473583877995644</v>
      </c>
      <c r="W66" s="221">
        <f t="shared" si="80"/>
        <v>0.54695398493456926</v>
      </c>
      <c r="X66" s="201">
        <f t="shared" si="81"/>
        <v>350</v>
      </c>
      <c r="Y66" s="451">
        <f t="shared" si="54"/>
        <v>350</v>
      </c>
      <c r="AA66" s="221">
        <f t="shared" si="82"/>
        <v>1.1570365118752215</v>
      </c>
      <c r="AB66" s="177">
        <f t="shared" si="83"/>
        <v>1.7724211272598367</v>
      </c>
      <c r="AC66" s="177">
        <f t="shared" si="84"/>
        <v>0.4306587513183206</v>
      </c>
      <c r="AD66" s="177"/>
      <c r="AE66" s="177">
        <f t="shared" si="85"/>
        <v>0.4595588235294118</v>
      </c>
      <c r="AF66" s="555">
        <f t="shared" si="86"/>
        <v>1474.8444444444444</v>
      </c>
      <c r="AG66" s="538">
        <f t="shared" si="87"/>
        <v>2.8952205882352939E-2</v>
      </c>
      <c r="AI66" s="177">
        <f t="shared" si="88"/>
        <v>0.64914106863156251</v>
      </c>
      <c r="AJ66" s="177">
        <f t="shared" si="89"/>
        <v>0.64914106863156251</v>
      </c>
      <c r="AK66" s="177">
        <f t="shared" si="90"/>
        <v>1.4327607124210417</v>
      </c>
      <c r="AM66" s="555">
        <f t="shared" si="91"/>
        <v>122</v>
      </c>
      <c r="AN66" s="469">
        <f t="shared" si="92"/>
        <v>350</v>
      </c>
      <c r="AP66">
        <f t="shared" si="93"/>
        <v>122</v>
      </c>
      <c r="AQ66">
        <f t="shared" si="94"/>
        <v>350</v>
      </c>
      <c r="AS66" s="5">
        <f t="shared" si="55"/>
        <v>2.8571428571428572</v>
      </c>
      <c r="AT66" s="5">
        <f t="shared" si="95"/>
        <v>0.60856975184208983</v>
      </c>
      <c r="AU66" s="5">
        <f t="shared" si="56"/>
        <v>2.2485731053007676</v>
      </c>
      <c r="AV66" s="5">
        <f t="shared" si="96"/>
        <v>0.99439501934982</v>
      </c>
      <c r="AW66" s="177">
        <f t="shared" si="57"/>
        <v>0.21299941314473145</v>
      </c>
      <c r="AX66" s="177">
        <f t="shared" si="97"/>
        <v>2.2122666666666668</v>
      </c>
      <c r="AY66" s="177">
        <f t="shared" si="98"/>
        <v>0.30652464117893752</v>
      </c>
      <c r="AZ66" s="177">
        <f t="shared" si="58"/>
        <v>7.2172555464316783</v>
      </c>
      <c r="BA66" s="469">
        <f t="shared" si="99"/>
        <v>6.273549245269658</v>
      </c>
      <c r="BB66" s="469">
        <f t="shared" si="100"/>
        <v>0.84528960666666642</v>
      </c>
      <c r="BC66" s="5">
        <f t="shared" si="101"/>
        <v>9.5252055155101947E-2</v>
      </c>
      <c r="BD66" s="469">
        <f t="shared" si="102"/>
        <v>15.443662158149646</v>
      </c>
      <c r="BE66" s="5"/>
      <c r="BF66" s="177">
        <f t="shared" si="59"/>
        <v>0.1729687560959339</v>
      </c>
      <c r="BG66" s="177">
        <f t="shared" si="103"/>
        <v>0.39897642350073942</v>
      </c>
      <c r="BH66" s="177"/>
      <c r="BI66" s="538">
        <f t="shared" si="104"/>
        <v>1.0471366704881134E-2</v>
      </c>
      <c r="BJ66" s="538">
        <f t="shared" si="105"/>
        <v>5.8599262547508413E-2</v>
      </c>
      <c r="BK66" s="538">
        <f t="shared" si="106"/>
        <v>4.3749999999999995E-3</v>
      </c>
      <c r="BL66" s="538">
        <f t="shared" si="107"/>
        <v>4.6565908480000008E-2</v>
      </c>
      <c r="BM66">
        <f t="shared" si="108"/>
        <v>9.2800000000000001E-3</v>
      </c>
      <c r="BN66">
        <f t="shared" si="109"/>
        <v>2.3625000000000002E-5</v>
      </c>
      <c r="BO66" s="538">
        <f t="shared" si="110"/>
        <v>0.13098184986966643</v>
      </c>
      <c r="BP66" s="469">
        <f t="shared" si="60"/>
        <v>130.98184986966643</v>
      </c>
      <c r="BQ66" s="538">
        <f t="shared" si="111"/>
        <v>0.10741159524660661</v>
      </c>
      <c r="BR66" s="538"/>
      <c r="BT66" s="469">
        <f t="shared" si="61"/>
        <v>107.41159524660661</v>
      </c>
      <c r="BU66" s="538">
        <f t="shared" si="112"/>
        <v>2.9918190585374671E-3</v>
      </c>
      <c r="BV66" s="538">
        <f t="shared" si="113"/>
        <v>4.7754655952832415E-3</v>
      </c>
      <c r="BW66" s="538">
        <f t="shared" si="114"/>
        <v>0</v>
      </c>
      <c r="BX66" s="538">
        <f t="shared" si="115"/>
        <v>8.704767805030161E-3</v>
      </c>
      <c r="BY66" s="538">
        <f t="shared" si="116"/>
        <v>7.3742222222222221E-3</v>
      </c>
      <c r="BZ66" s="469">
        <f t="shared" si="62"/>
        <v>16.078990027252381</v>
      </c>
      <c r="CA66" s="177">
        <f t="shared" si="63"/>
        <v>0.25447243514352541</v>
      </c>
      <c r="CB66" s="5">
        <f t="shared" si="64"/>
        <v>1.952</v>
      </c>
      <c r="CC66" s="177">
        <f t="shared" si="65"/>
        <v>0.88467001395964751</v>
      </c>
      <c r="CD66" s="5">
        <f t="shared" si="66"/>
        <v>88.467001395964758</v>
      </c>
      <c r="CG66" s="571">
        <f t="shared" si="117"/>
        <v>-50</v>
      </c>
      <c r="CH66">
        <f t="shared" si="118"/>
        <v>-50</v>
      </c>
    </row>
    <row r="67" spans="5:86" x14ac:dyDescent="0.25">
      <c r="E67" s="174">
        <v>62</v>
      </c>
      <c r="F67" s="221">
        <f t="shared" si="119"/>
        <v>0.124</v>
      </c>
      <c r="G67" s="221"/>
      <c r="H67" s="221">
        <f t="shared" si="67"/>
        <v>1.984</v>
      </c>
      <c r="I67" s="551">
        <f t="shared" si="68"/>
        <v>32</v>
      </c>
      <c r="J67" s="176">
        <f t="shared" si="69"/>
        <v>19.584</v>
      </c>
      <c r="K67" s="451">
        <f t="shared" si="70"/>
        <v>51.584000000000003</v>
      </c>
      <c r="L67" s="451"/>
      <c r="M67" s="221">
        <f t="shared" si="71"/>
        <v>0.37965260545905705</v>
      </c>
      <c r="N67" s="176">
        <f t="shared" si="72"/>
        <v>8.200496277915633</v>
      </c>
      <c r="O67" s="176">
        <f t="shared" si="53"/>
        <v>1.984</v>
      </c>
      <c r="P67" s="221">
        <f t="shared" si="73"/>
        <v>0.51253101736972706</v>
      </c>
      <c r="Q67" s="221">
        <f t="shared" si="74"/>
        <v>16</v>
      </c>
      <c r="R67" s="221">
        <f t="shared" si="75"/>
        <v>0.56947890818858549</v>
      </c>
      <c r="S67" s="176">
        <f t="shared" si="76"/>
        <v>147.58457657701143</v>
      </c>
      <c r="T67" s="176">
        <f t="shared" si="77"/>
        <v>16</v>
      </c>
      <c r="U67" s="221">
        <f t="shared" si="78"/>
        <v>0.36290486564996371</v>
      </c>
      <c r="V67" s="221">
        <f t="shared" si="79"/>
        <v>0.34022331154684099</v>
      </c>
      <c r="W67" s="221">
        <f t="shared" si="80"/>
        <v>0.55592044370398852</v>
      </c>
      <c r="X67" s="201">
        <f t="shared" si="81"/>
        <v>350</v>
      </c>
      <c r="Y67" s="451">
        <f t="shared" si="54"/>
        <v>350</v>
      </c>
      <c r="AA67" s="221">
        <f t="shared" si="82"/>
        <v>1.1570365118752215</v>
      </c>
      <c r="AB67" s="177">
        <f t="shared" si="83"/>
        <v>1.7724211272598367</v>
      </c>
      <c r="AC67" s="177">
        <f t="shared" si="84"/>
        <v>0.4306587513183206</v>
      </c>
      <c r="AD67" s="177"/>
      <c r="AE67" s="177">
        <f t="shared" si="85"/>
        <v>0.4595588235294118</v>
      </c>
      <c r="AF67" s="555">
        <f t="shared" si="86"/>
        <v>1499.0222222222224</v>
      </c>
      <c r="AG67" s="538">
        <f t="shared" si="87"/>
        <v>2.8952205882352939E-2</v>
      </c>
      <c r="AI67" s="177">
        <f t="shared" si="88"/>
        <v>0.65444026732167349</v>
      </c>
      <c r="AJ67" s="177">
        <f t="shared" si="89"/>
        <v>0.65444026732167349</v>
      </c>
      <c r="AK67" s="177">
        <f t="shared" si="90"/>
        <v>1.4362935115477824</v>
      </c>
      <c r="AM67" s="555">
        <f t="shared" si="91"/>
        <v>124</v>
      </c>
      <c r="AN67" s="469">
        <f t="shared" si="92"/>
        <v>350</v>
      </c>
      <c r="AP67">
        <f t="shared" si="93"/>
        <v>124</v>
      </c>
      <c r="AQ67">
        <f t="shared" si="94"/>
        <v>350</v>
      </c>
      <c r="AS67" s="5">
        <f t="shared" si="55"/>
        <v>2.8571428571428572</v>
      </c>
      <c r="AT67" s="5">
        <f t="shared" si="95"/>
        <v>0.6135377506140689</v>
      </c>
      <c r="AU67" s="5">
        <f t="shared" si="56"/>
        <v>2.2436051065287881</v>
      </c>
      <c r="AV67" s="5">
        <f t="shared" si="96"/>
        <v>1.0025126644020734</v>
      </c>
      <c r="AW67" s="177">
        <f t="shared" si="57"/>
        <v>0.2147382127149241</v>
      </c>
      <c r="AX67" s="177">
        <f t="shared" si="97"/>
        <v>2.2485333333333331</v>
      </c>
      <c r="AY67" s="177">
        <f t="shared" si="98"/>
        <v>0.30834416039300405</v>
      </c>
      <c r="AZ67" s="177">
        <f t="shared" si="58"/>
        <v>7.2922844735163324</v>
      </c>
      <c r="BA67" s="469">
        <f t="shared" si="99"/>
        <v>6.273549245269658</v>
      </c>
      <c r="BB67" s="469">
        <f t="shared" si="100"/>
        <v>0.86713282666666647</v>
      </c>
      <c r="BC67" s="5">
        <f t="shared" si="101"/>
        <v>9.6599664308878383E-2</v>
      </c>
      <c r="BD67" s="469">
        <f t="shared" si="102"/>
        <v>15.662612956087209</v>
      </c>
      <c r="BE67" s="5"/>
      <c r="BF67" s="177">
        <f t="shared" si="59"/>
        <v>0.17509109270536152</v>
      </c>
      <c r="BG67" s="177">
        <f t="shared" si="103"/>
        <v>0.40178883484205941</v>
      </c>
      <c r="BH67" s="177"/>
      <c r="BI67" s="538">
        <f t="shared" si="104"/>
        <v>1.0729911760665126E-2</v>
      </c>
      <c r="BJ67" s="538">
        <f t="shared" si="105"/>
        <v>5.9077631811662104E-2</v>
      </c>
      <c r="BK67" s="538">
        <f t="shared" si="106"/>
        <v>4.3749999999999995E-3</v>
      </c>
      <c r="BL67" s="538">
        <f t="shared" si="107"/>
        <v>4.6565908480000008E-2</v>
      </c>
      <c r="BM67">
        <f t="shared" si="108"/>
        <v>9.2800000000000001E-3</v>
      </c>
      <c r="BN67">
        <f t="shared" si="109"/>
        <v>2.3625000000000002E-5</v>
      </c>
      <c r="BO67" s="538">
        <f t="shared" si="110"/>
        <v>0.13176145917923499</v>
      </c>
      <c r="BP67" s="469">
        <f t="shared" si="60"/>
        <v>131.76145917923498</v>
      </c>
      <c r="BQ67" s="538">
        <f t="shared" si="111"/>
        <v>0.10903589030102857</v>
      </c>
      <c r="BR67" s="538"/>
      <c r="BT67" s="469">
        <f t="shared" si="61"/>
        <v>109.03589030102857</v>
      </c>
      <c r="BU67" s="538">
        <f t="shared" si="112"/>
        <v>3.0656890744757506E-3</v>
      </c>
      <c r="BV67" s="538">
        <f t="shared" si="113"/>
        <v>4.8430280341121906E-3</v>
      </c>
      <c r="BW67" s="538">
        <f t="shared" si="114"/>
        <v>0</v>
      </c>
      <c r="BX67" s="538">
        <f t="shared" si="115"/>
        <v>8.8633709931235424E-3</v>
      </c>
      <c r="BY67" s="538">
        <f t="shared" si="116"/>
        <v>7.4951111111111121E-3</v>
      </c>
      <c r="BZ67" s="469">
        <f t="shared" si="62"/>
        <v>16.358482104234657</v>
      </c>
      <c r="CA67" s="177">
        <f t="shared" si="63"/>
        <v>0.25715583158449817</v>
      </c>
      <c r="CB67" s="5">
        <f t="shared" si="64"/>
        <v>1.984</v>
      </c>
      <c r="CC67" s="177">
        <f t="shared" si="65"/>
        <v>0.88525749617210292</v>
      </c>
      <c r="CD67" s="5">
        <f t="shared" si="66"/>
        <v>88.525749617210295</v>
      </c>
      <c r="CG67" s="571">
        <f t="shared" si="117"/>
        <v>-50</v>
      </c>
      <c r="CH67">
        <f t="shared" si="118"/>
        <v>-50</v>
      </c>
    </row>
    <row r="68" spans="5:86" x14ac:dyDescent="0.25">
      <c r="E68" s="174">
        <v>63</v>
      </c>
      <c r="F68" s="221">
        <f t="shared" si="119"/>
        <v>0.126</v>
      </c>
      <c r="G68" s="221"/>
      <c r="H68" s="221">
        <f t="shared" si="67"/>
        <v>2.016</v>
      </c>
      <c r="I68" s="551">
        <f t="shared" si="68"/>
        <v>32</v>
      </c>
      <c r="J68" s="176">
        <f t="shared" si="69"/>
        <v>19.584</v>
      </c>
      <c r="K68" s="451">
        <f t="shared" si="70"/>
        <v>51.584000000000003</v>
      </c>
      <c r="L68" s="451"/>
      <c r="M68" s="221">
        <f t="shared" si="71"/>
        <v>0.37965260545905705</v>
      </c>
      <c r="N68" s="176">
        <f t="shared" si="72"/>
        <v>8.200496277915633</v>
      </c>
      <c r="O68" s="176">
        <f t="shared" si="53"/>
        <v>2.016</v>
      </c>
      <c r="P68" s="221">
        <f t="shared" si="73"/>
        <v>0.51253101736972706</v>
      </c>
      <c r="Q68" s="221">
        <f t="shared" si="74"/>
        <v>16</v>
      </c>
      <c r="R68" s="221">
        <f t="shared" si="75"/>
        <v>0.56947890818858549</v>
      </c>
      <c r="S68" s="176">
        <f t="shared" si="76"/>
        <v>144.82069828731858</v>
      </c>
      <c r="T68" s="176">
        <f t="shared" si="77"/>
        <v>16</v>
      </c>
      <c r="U68" s="221">
        <f t="shared" si="78"/>
        <v>0.36875816993464056</v>
      </c>
      <c r="V68" s="221">
        <f t="shared" si="79"/>
        <v>0.34571078431372554</v>
      </c>
      <c r="W68" s="221">
        <f t="shared" si="80"/>
        <v>0.56488690247340767</v>
      </c>
      <c r="X68" s="201">
        <f t="shared" si="81"/>
        <v>350</v>
      </c>
      <c r="Y68" s="451">
        <f t="shared" si="54"/>
        <v>350</v>
      </c>
      <c r="AA68" s="221">
        <f t="shared" si="82"/>
        <v>1.1570365118752215</v>
      </c>
      <c r="AB68" s="177">
        <f t="shared" si="83"/>
        <v>1.7724211272598367</v>
      </c>
      <c r="AC68" s="177">
        <f t="shared" si="84"/>
        <v>0.4306587513183206</v>
      </c>
      <c r="AD68" s="177"/>
      <c r="AE68" s="177">
        <f t="shared" si="85"/>
        <v>0.4595588235294118</v>
      </c>
      <c r="AF68" s="555">
        <f t="shared" si="86"/>
        <v>1523.2000000000003</v>
      </c>
      <c r="AG68" s="538">
        <f t="shared" si="87"/>
        <v>2.8952205882352939E-2</v>
      </c>
      <c r="AI68" s="177">
        <f t="shared" si="88"/>
        <v>0.65969690009882564</v>
      </c>
      <c r="AJ68" s="177">
        <f t="shared" si="89"/>
        <v>0.65969690009882564</v>
      </c>
      <c r="AK68" s="177">
        <f t="shared" si="90"/>
        <v>1.439797933399217</v>
      </c>
      <c r="AM68" s="555">
        <f t="shared" si="91"/>
        <v>126</v>
      </c>
      <c r="AN68" s="469">
        <f t="shared" si="92"/>
        <v>350</v>
      </c>
      <c r="AP68">
        <f t="shared" si="93"/>
        <v>126</v>
      </c>
      <c r="AQ68">
        <f t="shared" si="94"/>
        <v>350</v>
      </c>
      <c r="AS68" s="5">
        <f t="shared" si="55"/>
        <v>2.8571428571428572</v>
      </c>
      <c r="AT68" s="5">
        <f t="shared" si="95"/>
        <v>0.61846584384264913</v>
      </c>
      <c r="AU68" s="5">
        <f t="shared" si="56"/>
        <v>2.2386770133002081</v>
      </c>
      <c r="AV68" s="5">
        <f t="shared" si="96"/>
        <v>1.0105651043180541</v>
      </c>
      <c r="AW68" s="177">
        <f t="shared" si="57"/>
        <v>0.21646304534492719</v>
      </c>
      <c r="AX68" s="177">
        <f t="shared" si="97"/>
        <v>2.2847999999999997</v>
      </c>
      <c r="AY68" s="177">
        <f t="shared" si="98"/>
        <v>0.31013814005929535</v>
      </c>
      <c r="AZ68" s="177">
        <f t="shared" si="58"/>
        <v>7.367039731273195</v>
      </c>
      <c r="BA68" s="469">
        <f t="shared" si="99"/>
        <v>6.273549245269658</v>
      </c>
      <c r="BB68" s="469">
        <f t="shared" si="100"/>
        <v>0.88923365999999993</v>
      </c>
      <c r="BC68" s="5">
        <f t="shared" si="101"/>
        <v>9.7942119331884084E-2</v>
      </c>
      <c r="BD68" s="469">
        <f t="shared" si="102"/>
        <v>15.880739093101452</v>
      </c>
      <c r="BE68" s="5"/>
      <c r="BF68" s="177">
        <f t="shared" si="59"/>
        <v>0.17720488832056555</v>
      </c>
      <c r="BG68" s="177">
        <f t="shared" si="103"/>
        <v>0.40457105146021766</v>
      </c>
      <c r="BH68" s="177"/>
      <c r="BI68" s="538">
        <f t="shared" si="104"/>
        <v>1.0990550355646438E-2</v>
      </c>
      <c r="BJ68" s="538">
        <f t="shared" si="105"/>
        <v>5.9552158565721193E-2</v>
      </c>
      <c r="BK68" s="538">
        <f t="shared" si="106"/>
        <v>4.3749999999999995E-3</v>
      </c>
      <c r="BL68" s="538">
        <f t="shared" si="107"/>
        <v>4.6565908480000008E-2</v>
      </c>
      <c r="BM68">
        <f t="shared" si="108"/>
        <v>9.2800000000000001E-3</v>
      </c>
      <c r="BN68">
        <f t="shared" si="109"/>
        <v>2.3625000000000002E-5</v>
      </c>
      <c r="BO68" s="538">
        <f t="shared" si="110"/>
        <v>0.13253972499362729</v>
      </c>
      <c r="BP68" s="469">
        <f t="shared" si="60"/>
        <v>132.53972499362729</v>
      </c>
      <c r="BQ68" s="538">
        <f t="shared" si="111"/>
        <v>0.11065689502961717</v>
      </c>
      <c r="BR68" s="538"/>
      <c r="BT68" s="469">
        <f t="shared" si="61"/>
        <v>110.65689502961717</v>
      </c>
      <c r="BU68" s="538">
        <f t="shared" si="112"/>
        <v>3.1401572444704111E-3</v>
      </c>
      <c r="BV68" s="538">
        <f t="shared" si="113"/>
        <v>4.9103320703887824E-3</v>
      </c>
      <c r="BW68" s="538">
        <f t="shared" si="114"/>
        <v>0</v>
      </c>
      <c r="BX68" s="538">
        <f t="shared" si="115"/>
        <v>9.022358784881699E-3</v>
      </c>
      <c r="BY68" s="538">
        <f t="shared" si="116"/>
        <v>7.6159999999999995E-3</v>
      </c>
      <c r="BZ68" s="469">
        <f t="shared" si="62"/>
        <v>16.638358784881699</v>
      </c>
      <c r="CA68" s="177">
        <f t="shared" si="63"/>
        <v>0.25983497880812617</v>
      </c>
      <c r="CB68" s="5">
        <f t="shared" si="64"/>
        <v>2.016</v>
      </c>
      <c r="CC68" s="177">
        <f t="shared" si="65"/>
        <v>0.88582872605982887</v>
      </c>
      <c r="CD68" s="5">
        <f t="shared" si="66"/>
        <v>88.582872605982885</v>
      </c>
      <c r="CG68" s="571">
        <f t="shared" si="117"/>
        <v>-50</v>
      </c>
      <c r="CH68">
        <f t="shared" si="118"/>
        <v>-50</v>
      </c>
    </row>
    <row r="69" spans="5:86" x14ac:dyDescent="0.25">
      <c r="E69" s="174">
        <v>64</v>
      </c>
      <c r="F69" s="221">
        <f t="shared" si="119"/>
        <v>0.128</v>
      </c>
      <c r="G69" s="221"/>
      <c r="H69" s="221">
        <f t="shared" ref="H69:H100" si="120">F69*Vout</f>
        <v>2.048</v>
      </c>
      <c r="I69" s="551">
        <f t="shared" ref="I69:I105" si="121">Vin</f>
        <v>32</v>
      </c>
      <c r="J69" s="176">
        <f t="shared" ref="J69:J105" si="122">(T69+Vfwd1)*Nps</f>
        <v>19.584</v>
      </c>
      <c r="K69" s="451">
        <f t="shared" ref="K69:K105" si="123">(Vout+Vfwd1)*Nps+I69</f>
        <v>51.584000000000003</v>
      </c>
      <c r="L69" s="451"/>
      <c r="M69" s="221">
        <f t="shared" ref="M69:M105" si="124">(Vout+Vfwd1)*Nps/((Vout+Vfwd1)*Nps+I69)</f>
        <v>0.37965260545905705</v>
      </c>
      <c r="N69" s="176">
        <f t="shared" ref="N69:N100" si="125">M69*I69*Isw_max*0.5*Efficiency</f>
        <v>8.200496277915633</v>
      </c>
      <c r="O69" s="176">
        <f t="shared" si="53"/>
        <v>2.048</v>
      </c>
      <c r="P69" s="221">
        <f t="shared" ref="P69:P100" si="126">N69/Vout</f>
        <v>0.51253101736972706</v>
      </c>
      <c r="Q69" s="221">
        <f t="shared" ref="Q69:Q105" si="127">MIN(Vout,N69/F69)</f>
        <v>16</v>
      </c>
      <c r="R69" s="221">
        <f t="shared" ref="R69:R100" si="128">Isw_max/2*I69*Nps*(Q69+Vfwd1)/Q69/(I69+Nps*(Q69+Vfwd1))</f>
        <v>0.56947890818858549</v>
      </c>
      <c r="S69" s="176">
        <f t="shared" ref="S69:S105" si="129">(SQRT(Isw_max^2*Nps^2*I69^2+4*Isw_max*F69/Efficiency*(Nps^2*Vfwd1*I69-Nps*I69^2)+4*(F69/Efficiency)^2*Nps^2*Vfwd1^2+8*(F69/Efficiency)^2*Nps*Vfwd1*I69+4*(F69/Efficiency)^2*I69^2)-2*F69/Efficiency*I69-2*F69/Efficiency*Nps*Vfwd1+Isw_max*Nps*I69)/(4*F69/Efficiency*Nps)</f>
        <v>142.14323182941371</v>
      </c>
      <c r="T69" s="176">
        <f t="shared" ref="T69:T100" si="130">MIN(Vout, S69)</f>
        <v>16</v>
      </c>
      <c r="U69" s="221">
        <f t="shared" ref="U69:U105" si="131">MIN(2*Vout*F69/(Efficiency*I69*M69), Isw_max)</f>
        <v>0.3746114742193174</v>
      </c>
      <c r="V69" s="221">
        <f t="shared" ref="V69:V100" si="132">L*U69/I69*1000000</f>
        <v>0.35119825708061003</v>
      </c>
      <c r="W69" s="221">
        <f t="shared" ref="W69:W105" si="133">L*U69/J69*1000000</f>
        <v>0.57385336124282693</v>
      </c>
      <c r="X69" s="201">
        <f t="shared" ref="X69:X105" si="134">IF(1/((350000*L)*(1/I69+1/J69))&gt;Isw_min, 350, 0.001/((Isw_min*L)*(1/I69+1/J69)))</f>
        <v>350</v>
      </c>
      <c r="Y69" s="451">
        <f t="shared" si="54"/>
        <v>350</v>
      </c>
      <c r="AA69" s="221">
        <f t="shared" ref="AA69:AA105" si="135">1/((X69*1000*L)*(1/I69+1/J69))</f>
        <v>1.1570365118752215</v>
      </c>
      <c r="AB69" s="177">
        <f t="shared" ref="AB69:AB100" si="136">L*AA69/J69*1000000</f>
        <v>1.7724211272598367</v>
      </c>
      <c r="AC69" s="177">
        <f t="shared" ref="AC69:AC100" si="137">0.5*AB69*AA69*Nps*X69/1000</f>
        <v>0.4306587513183206</v>
      </c>
      <c r="AD69" s="177"/>
      <c r="AE69" s="177">
        <f t="shared" ref="AE69:AE105" si="138">L*Isw_min/J69*1000000</f>
        <v>0.4595588235294118</v>
      </c>
      <c r="AF69" s="555">
        <f t="shared" ref="AF69:AF100" si="139">MAX(12, F69/(0.5*AE69/1000000*Isw_min*Nps)/1000)</f>
        <v>1547.377777777778</v>
      </c>
      <c r="AG69" s="538">
        <f t="shared" ref="AG69:AG105" si="140">0.5*AE69/1000000*Isw_min*Nps*X69*1000</f>
        <v>2.8952205882352939E-2</v>
      </c>
      <c r="AI69" s="177">
        <f t="shared" ref="AI69:AI105" si="141">SQRT(F69/Efficiency/(0.5*L/J69*Fsw_DCM*Nps))</f>
        <v>0.66491197651112921</v>
      </c>
      <c r="AJ69" s="177">
        <f t="shared" ref="AJ69:AJ100" si="142">MAX(IF(F69&gt;AC69,U69,AI69),Isw_min)</f>
        <v>0.66491197651112921</v>
      </c>
      <c r="AK69" s="177">
        <f t="shared" ref="AK69:AK100" si="143">IF(F69&gt;AG69, (AJ69-Isw_min)/1.2*0.8+1.2, AF69*0.2/350+1)</f>
        <v>1.4432746510074195</v>
      </c>
      <c r="AM69" s="555">
        <f t="shared" ref="AM69:AM105" si="144">F69*1000</f>
        <v>128</v>
      </c>
      <c r="AN69" s="469">
        <f t="shared" ref="AN69:AN105" si="145">IF(F69&gt;AG69, Y69, AF69)</f>
        <v>350</v>
      </c>
      <c r="AP69">
        <f t="shared" ref="AP69:AP105" si="146">IF(H69&gt;N69, "",AM69)</f>
        <v>128</v>
      </c>
      <c r="AQ69">
        <f t="shared" ref="AQ69:AQ105" si="147">IF(H69&gt;N69, "",AN69)</f>
        <v>350</v>
      </c>
      <c r="AS69" s="5">
        <f t="shared" si="55"/>
        <v>2.8571428571428572</v>
      </c>
      <c r="AT69" s="5">
        <f t="shared" ref="AT69:AT105" si="148">L*AJ69/I69*1000000</f>
        <v>0.6233549779791836</v>
      </c>
      <c r="AU69" s="5">
        <f t="shared" si="56"/>
        <v>2.2337878791636738</v>
      </c>
      <c r="AV69" s="5">
        <f t="shared" ref="AV69:AV105" si="149">L*AJ69/J69*1000000</f>
        <v>1.0185538855869012</v>
      </c>
      <c r="AW69" s="177">
        <f t="shared" si="57"/>
        <v>0.21817424229271426</v>
      </c>
      <c r="AX69" s="177">
        <f t="shared" ref="AX69:AX132" si="150">0.5*L*AJ69^2*AN69*1000</f>
        <v>2.3210666666666664</v>
      </c>
      <c r="AY69" s="177">
        <f t="shared" ref="AY69:AY132" si="151">AJ69*Nps/2*(1-AW69)</f>
        <v>0.31190718590667754</v>
      </c>
      <c r="AZ69" s="177">
        <f t="shared" si="58"/>
        <v>7.4415299535969277</v>
      </c>
      <c r="BA69" s="469">
        <f t="shared" ref="BA69:BA105" si="152">L*Isw_max^2/(2*Vout_ripple*Vout)*1000000000*((1+M69)/2)^2</f>
        <v>6.273549245269658</v>
      </c>
      <c r="BB69" s="469">
        <f t="shared" ref="BB69:BB105" si="153">L*F69^2/(2*Cout*Vout*Nps^2)*1000000000*((1+M69)/(1-M69))^2+F69*RCoutEsr</f>
        <v>0.91159210666666646</v>
      </c>
      <c r="BC69" s="5">
        <f t="shared" ref="BC69:BC105" si="154">H69/Efficiency/I69*AU69/Vinripple1</f>
        <v>9.9279461296163274E-2</v>
      </c>
      <c r="BD69" s="469">
        <f t="shared" ref="BD69:BD105" si="155">((CB69/I69/Efficiency)*AU69/Cin+(CB69/I69/Efficiency)*RCinEsr)*1000</f>
        <v>16.098047140719459</v>
      </c>
      <c r="BE69" s="5"/>
      <c r="BF69" s="177">
        <f t="shared" si="59"/>
        <v>0.1793103120842138</v>
      </c>
      <c r="BG69" s="177">
        <f t="shared" ref="BG69:BG132" si="156">AJ69*Nps*SQRT((1-AW69)/3)</f>
        <v>0.40732377634430639</v>
      </c>
      <c r="BH69" s="177"/>
      <c r="BI69" s="538">
        <f t="shared" ref="BI69:BI105" si="157">Rdson*BF69^2</f>
        <v>1.1253265806908351E-2</v>
      </c>
      <c r="BJ69" s="538">
        <f t="shared" ref="BJ69:BJ105" si="158">0.5*K69*AJ69*AN69*1000*Trise</f>
        <v>6.0022933943612661E-2</v>
      </c>
      <c r="BK69" s="538">
        <f t="shared" ref="BK69:BK105" si="159">Qg*Vdd*AN69*1000</f>
        <v>4.3749999999999995E-3</v>
      </c>
      <c r="BL69" s="538">
        <f t="shared" ref="BL69:BL105" si="160">0.5*(Coss+Csw)*K69^2*AN69*1000</f>
        <v>4.6565908480000008E-2</v>
      </c>
      <c r="BM69">
        <f t="shared" ref="BM69:BM105" si="161">I69*IQ</f>
        <v>9.2800000000000001E-3</v>
      </c>
      <c r="BN69">
        <f t="shared" ref="BN69:BN105" si="162">(I69-Vdd)*Qg*AN69</f>
        <v>2.3625000000000002E-5</v>
      </c>
      <c r="BO69" s="538">
        <f t="shared" ref="BO69:BO100" si="163">(BJ69+BK69+BL69+BM69+BN69+BI69*(1+RdsonTC*(Ta-25)))/(1-BI69*RdsonTC*ThetaJA)</f>
        <v>0.13331671996016065</v>
      </c>
      <c r="BP69" s="469">
        <f t="shared" si="60"/>
        <v>133.31671996016064</v>
      </c>
      <c r="BQ69" s="538">
        <f t="shared" ref="BQ69:BQ105" si="164">(Vfwd2*F69+BG69^2*Rdiode)*(1+Diode_TC/1000*(Ta-25))</f>
        <v>0.11227463565219767</v>
      </c>
      <c r="BR69" s="538"/>
      <c r="BT69" s="469">
        <f t="shared" si="61"/>
        <v>112.27463565219767</v>
      </c>
      <c r="BU69" s="538">
        <f t="shared" ref="BU69:BU105" si="165">Rdcr_pri*BF69^2</f>
        <v>3.2152188019738148E-3</v>
      </c>
      <c r="BV69" s="538">
        <f t="shared" ref="BV69:BV105" si="166">Rdcr_sec*BG69^2</f>
        <v>4.9773797632615959E-3</v>
      </c>
      <c r="BW69" s="538">
        <f t="shared" ref="BW69:BW105" si="167">AJ69^2.5*AN69^2.5*k_core</f>
        <v>0</v>
      </c>
      <c r="BX69" s="538">
        <f t="shared" ref="BX69:BX100" si="168">(BW69+(BU69+BV69)*(1+Ltc*(Ta-25)))/(1-(BU69+BV69)*Ltc*ThetaCa)</f>
        <v>9.1817281701062851E-3</v>
      </c>
      <c r="BY69" s="538">
        <f t="shared" ref="BY69:BY105" si="169">0.5*Lleak*0.000000001*AJ69^2*AN69*1000</f>
        <v>7.7368888888888878E-3</v>
      </c>
      <c r="BZ69" s="469">
        <f t="shared" si="62"/>
        <v>16.918617058995174</v>
      </c>
      <c r="CA69" s="177">
        <f t="shared" si="63"/>
        <v>0.26250997267135351</v>
      </c>
      <c r="CB69" s="5">
        <f t="shared" si="64"/>
        <v>2.048</v>
      </c>
      <c r="CC69" s="177">
        <f t="shared" si="65"/>
        <v>0.88638440180898859</v>
      </c>
      <c r="CD69" s="5">
        <f t="shared" si="66"/>
        <v>88.638440180898854</v>
      </c>
      <c r="CG69" s="571">
        <f t="shared" ref="CG69:CG105" si="170">IF(ABS(F69-Ioutmax_Vinnom)&lt;Iout/200, AN69, -50)</f>
        <v>-50</v>
      </c>
      <c r="CH69">
        <f t="shared" ref="CH69:CH105" si="171">IF(ABS(F69-Ioutmax_Vinnom)&lt;Iout/200, N69*CC69, -50)</f>
        <v>-50</v>
      </c>
    </row>
    <row r="70" spans="5:86" x14ac:dyDescent="0.25">
      <c r="E70" s="174">
        <v>65</v>
      </c>
      <c r="F70" s="221">
        <f t="shared" ref="F70:F101" si="172">IF(PLOT_TYPE=1, E70/100*Iout_max, min_I*EXP(N70*rr/100))</f>
        <v>0.13</v>
      </c>
      <c r="G70" s="221"/>
      <c r="H70" s="221">
        <f t="shared" si="120"/>
        <v>2.08</v>
      </c>
      <c r="I70" s="551">
        <f t="shared" si="121"/>
        <v>32</v>
      </c>
      <c r="J70" s="176">
        <f t="shared" si="122"/>
        <v>19.584</v>
      </c>
      <c r="K70" s="451">
        <f t="shared" si="123"/>
        <v>51.584000000000003</v>
      </c>
      <c r="L70" s="451"/>
      <c r="M70" s="221">
        <f t="shared" si="124"/>
        <v>0.37965260545905705</v>
      </c>
      <c r="N70" s="176">
        <f t="shared" si="125"/>
        <v>8.200496277915633</v>
      </c>
      <c r="O70" s="176">
        <f t="shared" ref="O70:O133" si="173">T70*F70</f>
        <v>2.08</v>
      </c>
      <c r="P70" s="221">
        <f t="shared" si="126"/>
        <v>0.51253101736972706</v>
      </c>
      <c r="Q70" s="221">
        <f t="shared" si="127"/>
        <v>16</v>
      </c>
      <c r="R70" s="221">
        <f t="shared" si="128"/>
        <v>0.56947890818858549</v>
      </c>
      <c r="S70" s="176">
        <f t="shared" si="129"/>
        <v>139.54818930918029</v>
      </c>
      <c r="T70" s="176">
        <f t="shared" si="130"/>
        <v>16</v>
      </c>
      <c r="U70" s="221">
        <f t="shared" si="131"/>
        <v>0.38046477850399424</v>
      </c>
      <c r="V70" s="221">
        <f t="shared" si="132"/>
        <v>0.35668572984749458</v>
      </c>
      <c r="W70" s="221">
        <f t="shared" si="133"/>
        <v>0.58281982001224608</v>
      </c>
      <c r="X70" s="201">
        <f t="shared" si="134"/>
        <v>350</v>
      </c>
      <c r="Y70" s="451">
        <f t="shared" ref="Y70:Y105" si="174">MIN(1/(V70+W70)*1000, 350)</f>
        <v>350</v>
      </c>
      <c r="AA70" s="221">
        <f t="shared" si="135"/>
        <v>1.1570365118752215</v>
      </c>
      <c r="AB70" s="177">
        <f t="shared" si="136"/>
        <v>1.7724211272598367</v>
      </c>
      <c r="AC70" s="177">
        <f t="shared" si="137"/>
        <v>0.4306587513183206</v>
      </c>
      <c r="AD70" s="177"/>
      <c r="AE70" s="177">
        <f t="shared" si="138"/>
        <v>0.4595588235294118</v>
      </c>
      <c r="AF70" s="555">
        <f t="shared" si="139"/>
        <v>1571.5555555555557</v>
      </c>
      <c r="AG70" s="538">
        <f t="shared" si="140"/>
        <v>2.8952205882352939E-2</v>
      </c>
      <c r="AI70" s="177">
        <f t="shared" si="141"/>
        <v>0.67008646682041939</v>
      </c>
      <c r="AJ70" s="177">
        <f t="shared" si="89"/>
        <v>0.67008646682041939</v>
      </c>
      <c r="AK70" s="177">
        <f t="shared" si="143"/>
        <v>1.446724311213613</v>
      </c>
      <c r="AM70" s="555">
        <f t="shared" si="144"/>
        <v>130</v>
      </c>
      <c r="AN70" s="469">
        <f t="shared" si="145"/>
        <v>350</v>
      </c>
      <c r="AP70">
        <f t="shared" si="146"/>
        <v>130</v>
      </c>
      <c r="AQ70">
        <f t="shared" si="147"/>
        <v>350</v>
      </c>
      <c r="AS70" s="5">
        <f t="shared" ref="AS70:AS133" si="175">1/AN70*1000</f>
        <v>2.8571428571428572</v>
      </c>
      <c r="AT70" s="5">
        <f t="shared" si="148"/>
        <v>0.62820606264414314</v>
      </c>
      <c r="AU70" s="5">
        <f t="shared" ref="AU70:AU105" si="176">AS70-AT70</f>
        <v>2.228936794498714</v>
      </c>
      <c r="AV70" s="5">
        <f t="shared" si="149"/>
        <v>1.0264804945165737</v>
      </c>
      <c r="AW70" s="177">
        <f t="shared" ref="AW70:AW105" si="177">AT70/AS70</f>
        <v>0.21987212192545008</v>
      </c>
      <c r="AX70" s="177">
        <f t="shared" si="150"/>
        <v>2.3573333333333335</v>
      </c>
      <c r="AY70" s="177">
        <f t="shared" si="151"/>
        <v>0.31365188009225164</v>
      </c>
      <c r="AZ70" s="177">
        <f t="shared" ref="AZ70:AZ133" si="178">AX70/AY70</f>
        <v>7.5157634401553466</v>
      </c>
      <c r="BA70" s="469">
        <f t="shared" si="152"/>
        <v>6.273549245269658</v>
      </c>
      <c r="BB70" s="469">
        <f t="shared" si="153"/>
        <v>0.93420816666666662</v>
      </c>
      <c r="BC70" s="5">
        <f t="shared" si="154"/>
        <v>0.10061173030723362</v>
      </c>
      <c r="BD70" s="469">
        <f t="shared" si="155"/>
        <v>16.314543515824049</v>
      </c>
      <c r="BE70" s="5"/>
      <c r="BF70" s="177">
        <f t="shared" ref="BF70:BF133" si="179">AJ70*SQRT(AW70/3)</f>
        <v>0.18140752720344733</v>
      </c>
      <c r="BG70" s="177">
        <f t="shared" si="156"/>
        <v>0.41004768517097984</v>
      </c>
      <c r="BH70" s="177"/>
      <c r="BI70" s="538">
        <f t="shared" si="157"/>
        <v>1.1518041824124319E-2</v>
      </c>
      <c r="BJ70" s="538">
        <f t="shared" si="158"/>
        <v>6.0490045532812918E-2</v>
      </c>
      <c r="BK70" s="538">
        <f t="shared" si="159"/>
        <v>4.3749999999999995E-3</v>
      </c>
      <c r="BL70" s="538">
        <f t="shared" si="160"/>
        <v>4.6565908480000008E-2</v>
      </c>
      <c r="BM70">
        <f t="shared" si="161"/>
        <v>9.2800000000000001E-3</v>
      </c>
      <c r="BN70">
        <f t="shared" si="162"/>
        <v>2.3625000000000002E-5</v>
      </c>
      <c r="BO70" s="538">
        <f t="shared" si="163"/>
        <v>0.13409251362995786</v>
      </c>
      <c r="BP70" s="469">
        <f t="shared" ref="BP70:BP105" si="180">BO70*1000</f>
        <v>134.09251362995786</v>
      </c>
      <c r="BQ70" s="538">
        <f t="shared" si="164"/>
        <v>0.11388913777157821</v>
      </c>
      <c r="BR70" s="538"/>
      <c r="BT70" s="469">
        <f t="shared" ref="BT70:BT105" si="181">SUM(BQ70:BS70)*1000</f>
        <v>113.88913777157821</v>
      </c>
      <c r="BU70" s="538">
        <f t="shared" si="165"/>
        <v>3.2908690926069482E-3</v>
      </c>
      <c r="BV70" s="538">
        <f t="shared" si="166"/>
        <v>5.0441731234223703E-3</v>
      </c>
      <c r="BW70" s="538">
        <f t="shared" si="167"/>
        <v>0</v>
      </c>
      <c r="BX70" s="538">
        <f t="shared" si="168"/>
        <v>9.3414762098383598E-3</v>
      </c>
      <c r="BY70" s="538">
        <f t="shared" si="169"/>
        <v>7.8577777777777778E-3</v>
      </c>
      <c r="BZ70" s="469">
        <f t="shared" ref="BZ70:BZ105" si="182">1000*(BX70+BY70)</f>
        <v>17.199253987616139</v>
      </c>
      <c r="CA70" s="177">
        <f t="shared" ref="CA70:CA105" si="183">SUM(BO70,BQ70:BS70,BX70, BY70)</f>
        <v>0.26518090538915223</v>
      </c>
      <c r="CB70" s="5">
        <f t="shared" ref="CB70:CB105" si="184">MIN(H70,O70)</f>
        <v>2.08</v>
      </c>
      <c r="CC70" s="177">
        <f t="shared" ref="CC70:CC105" si="185">CB70/(CB70+CA70)</f>
        <v>0.8869251814306629</v>
      </c>
      <c r="CD70" s="5">
        <f t="shared" ref="CD70:CD105" si="186">CC70*100</f>
        <v>88.692518143066295</v>
      </c>
      <c r="CG70" s="571">
        <f t="shared" si="170"/>
        <v>-50</v>
      </c>
      <c r="CH70">
        <f t="shared" si="171"/>
        <v>-50</v>
      </c>
    </row>
    <row r="71" spans="5:86" x14ac:dyDescent="0.25">
      <c r="E71" s="174">
        <v>66</v>
      </c>
      <c r="F71" s="221">
        <f t="shared" si="172"/>
        <v>0.13200000000000001</v>
      </c>
      <c r="G71" s="221"/>
      <c r="H71" s="221">
        <f t="shared" si="120"/>
        <v>2.1120000000000001</v>
      </c>
      <c r="I71" s="551">
        <f t="shared" si="121"/>
        <v>32</v>
      </c>
      <c r="J71" s="176">
        <f t="shared" si="122"/>
        <v>19.584</v>
      </c>
      <c r="K71" s="451">
        <f t="shared" si="123"/>
        <v>51.584000000000003</v>
      </c>
      <c r="L71" s="451"/>
      <c r="M71" s="221">
        <f t="shared" si="124"/>
        <v>0.37965260545905705</v>
      </c>
      <c r="N71" s="176">
        <f t="shared" si="125"/>
        <v>8.200496277915633</v>
      </c>
      <c r="O71" s="176">
        <f t="shared" si="173"/>
        <v>2.1120000000000001</v>
      </c>
      <c r="P71" s="221">
        <f t="shared" si="126"/>
        <v>0.51253101736972706</v>
      </c>
      <c r="Q71" s="221">
        <f t="shared" si="127"/>
        <v>16</v>
      </c>
      <c r="R71" s="221">
        <f t="shared" si="128"/>
        <v>0.56947890818858549</v>
      </c>
      <c r="S71" s="176">
        <f t="shared" si="129"/>
        <v>137.03182452688614</v>
      </c>
      <c r="T71" s="176">
        <f t="shared" si="130"/>
        <v>16</v>
      </c>
      <c r="U71" s="221">
        <f t="shared" si="131"/>
        <v>0.38631808278867108</v>
      </c>
      <c r="V71" s="221">
        <f t="shared" si="132"/>
        <v>0.36217320261437913</v>
      </c>
      <c r="W71" s="221">
        <f t="shared" si="133"/>
        <v>0.59178627878166523</v>
      </c>
      <c r="X71" s="201">
        <f t="shared" si="134"/>
        <v>350</v>
      </c>
      <c r="Y71" s="451">
        <f t="shared" si="174"/>
        <v>350</v>
      </c>
      <c r="AA71" s="221">
        <f t="shared" si="135"/>
        <v>1.1570365118752215</v>
      </c>
      <c r="AB71" s="177">
        <f t="shared" si="136"/>
        <v>1.7724211272598367</v>
      </c>
      <c r="AC71" s="177">
        <f t="shared" si="137"/>
        <v>0.4306587513183206</v>
      </c>
      <c r="AD71" s="177"/>
      <c r="AE71" s="177">
        <f t="shared" si="138"/>
        <v>0.4595588235294118</v>
      </c>
      <c r="AF71" s="555">
        <f t="shared" si="139"/>
        <v>1595.7333333333336</v>
      </c>
      <c r="AG71" s="538">
        <f t="shared" si="140"/>
        <v>2.8952205882352939E-2</v>
      </c>
      <c r="AI71" s="177">
        <f t="shared" si="141"/>
        <v>0.67522130410985215</v>
      </c>
      <c r="AJ71" s="177">
        <f t="shared" si="89"/>
        <v>0.67522130410985215</v>
      </c>
      <c r="AK71" s="177">
        <f t="shared" si="143"/>
        <v>1.4501475360732348</v>
      </c>
      <c r="AM71" s="555">
        <f t="shared" si="144"/>
        <v>132</v>
      </c>
      <c r="AN71" s="469">
        <f t="shared" si="145"/>
        <v>350</v>
      </c>
      <c r="AP71">
        <f t="shared" si="146"/>
        <v>132</v>
      </c>
      <c r="AQ71">
        <f t="shared" si="147"/>
        <v>350</v>
      </c>
      <c r="AS71" s="5">
        <f t="shared" si="175"/>
        <v>2.8571428571428572</v>
      </c>
      <c r="AT71" s="5">
        <f t="shared" si="148"/>
        <v>0.63301997260298637</v>
      </c>
      <c r="AU71" s="5">
        <f t="shared" si="176"/>
        <v>2.2241228845398711</v>
      </c>
      <c r="AV71" s="5">
        <f t="shared" si="149"/>
        <v>1.0343463604623961</v>
      </c>
      <c r="AW71" s="177">
        <f t="shared" si="177"/>
        <v>0.22155699041104523</v>
      </c>
      <c r="AX71" s="177">
        <f t="shared" si="150"/>
        <v>2.3935999999999997</v>
      </c>
      <c r="AY71" s="177">
        <f t="shared" si="151"/>
        <v>0.31537278246591127</v>
      </c>
      <c r="AZ71" s="177">
        <f t="shared" si="178"/>
        <v>7.5897481744757878</v>
      </c>
      <c r="BA71" s="469">
        <f t="shared" si="152"/>
        <v>6.273549245269658</v>
      </c>
      <c r="BB71" s="469">
        <f t="shared" si="153"/>
        <v>0.95708183999999996</v>
      </c>
      <c r="BC71" s="5">
        <f t="shared" si="154"/>
        <v>0.10193896554141076</v>
      </c>
      <c r="BD71" s="469">
        <f t="shared" si="155"/>
        <v>16.530234486625723</v>
      </c>
      <c r="BE71" s="5"/>
      <c r="BF71" s="177">
        <f t="shared" si="179"/>
        <v>0.18349669124613105</v>
      </c>
      <c r="BG71" s="177">
        <f t="shared" si="156"/>
        <v>0.41274342776827866</v>
      </c>
      <c r="BH71" s="177"/>
      <c r="BI71" s="538">
        <f t="shared" si="157"/>
        <v>1.178486249439728E-2</v>
      </c>
      <c r="BJ71" s="538">
        <f t="shared" si="158"/>
        <v>6.0953577564604573E-2</v>
      </c>
      <c r="BK71" s="538">
        <f t="shared" si="159"/>
        <v>4.3749999999999995E-3</v>
      </c>
      <c r="BL71" s="538">
        <f t="shared" si="160"/>
        <v>4.6565908480000008E-2</v>
      </c>
      <c r="BM71">
        <f t="shared" si="161"/>
        <v>9.2800000000000001E-3</v>
      </c>
      <c r="BN71">
        <f t="shared" si="162"/>
        <v>2.3625000000000002E-5</v>
      </c>
      <c r="BO71" s="538">
        <f t="shared" si="163"/>
        <v>0.13486717263082881</v>
      </c>
      <c r="BP71" s="469">
        <f t="shared" si="180"/>
        <v>134.8671726308288</v>
      </c>
      <c r="BQ71" s="538">
        <f t="shared" si="164"/>
        <v>0.11550042639737698</v>
      </c>
      <c r="BR71" s="538"/>
      <c r="BT71" s="469">
        <f t="shared" si="181"/>
        <v>115.50042639737698</v>
      </c>
      <c r="BU71" s="538">
        <f t="shared" si="165"/>
        <v>3.3671035698277945E-3</v>
      </c>
      <c r="BV71" s="538">
        <f t="shared" si="166"/>
        <v>5.110714114977247E-3</v>
      </c>
      <c r="BW71" s="538">
        <f t="shared" si="167"/>
        <v>0</v>
      </c>
      <c r="BX71" s="538">
        <f t="shared" si="168"/>
        <v>9.501600033605553E-3</v>
      </c>
      <c r="BY71" s="538">
        <f t="shared" si="169"/>
        <v>7.9786666666666652E-3</v>
      </c>
      <c r="BZ71" s="469">
        <f t="shared" si="182"/>
        <v>17.480266700272217</v>
      </c>
      <c r="CA71" s="177">
        <f t="shared" si="183"/>
        <v>0.26784786572847807</v>
      </c>
      <c r="CB71" s="5">
        <f t="shared" si="184"/>
        <v>2.1120000000000001</v>
      </c>
      <c r="CC71" s="177">
        <f t="shared" si="185"/>
        <v>0.88745168563685095</v>
      </c>
      <c r="CD71" s="5">
        <f t="shared" si="186"/>
        <v>88.745168563685098</v>
      </c>
      <c r="CG71" s="571">
        <f t="shared" si="170"/>
        <v>-50</v>
      </c>
      <c r="CH71">
        <f t="shared" si="171"/>
        <v>-50</v>
      </c>
    </row>
    <row r="72" spans="5:86" x14ac:dyDescent="0.25">
      <c r="E72" s="174">
        <v>67</v>
      </c>
      <c r="F72" s="221">
        <f t="shared" si="172"/>
        <v>0.13400000000000001</v>
      </c>
      <c r="G72" s="221"/>
      <c r="H72" s="221">
        <f t="shared" si="120"/>
        <v>2.1440000000000001</v>
      </c>
      <c r="I72" s="551">
        <f t="shared" si="121"/>
        <v>32</v>
      </c>
      <c r="J72" s="176">
        <f t="shared" si="122"/>
        <v>19.584</v>
      </c>
      <c r="K72" s="451">
        <f t="shared" si="123"/>
        <v>51.584000000000003</v>
      </c>
      <c r="L72" s="451"/>
      <c r="M72" s="221">
        <f t="shared" si="124"/>
        <v>0.37965260545905705</v>
      </c>
      <c r="N72" s="176">
        <f t="shared" si="125"/>
        <v>8.200496277915633</v>
      </c>
      <c r="O72" s="176">
        <f t="shared" si="173"/>
        <v>2.1440000000000001</v>
      </c>
      <c r="P72" s="221">
        <f t="shared" si="126"/>
        <v>0.51253101736972706</v>
      </c>
      <c r="Q72" s="221">
        <f t="shared" si="127"/>
        <v>16</v>
      </c>
      <c r="R72" s="221">
        <f t="shared" si="128"/>
        <v>0.56947890818858549</v>
      </c>
      <c r="S72" s="176">
        <f t="shared" si="129"/>
        <v>134.59061494034137</v>
      </c>
      <c r="T72" s="176">
        <f t="shared" si="130"/>
        <v>16</v>
      </c>
      <c r="U72" s="221">
        <f t="shared" si="131"/>
        <v>0.39217138707334792</v>
      </c>
      <c r="V72" s="221">
        <f t="shared" si="132"/>
        <v>0.36766067538126368</v>
      </c>
      <c r="W72" s="221">
        <f t="shared" si="133"/>
        <v>0.60075273755108438</v>
      </c>
      <c r="X72" s="201">
        <f t="shared" si="134"/>
        <v>350</v>
      </c>
      <c r="Y72" s="451">
        <f t="shared" si="174"/>
        <v>350</v>
      </c>
      <c r="AA72" s="221">
        <f t="shared" si="135"/>
        <v>1.1570365118752215</v>
      </c>
      <c r="AB72" s="177">
        <f t="shared" si="136"/>
        <v>1.7724211272598367</v>
      </c>
      <c r="AC72" s="177">
        <f t="shared" si="137"/>
        <v>0.4306587513183206</v>
      </c>
      <c r="AD72" s="177"/>
      <c r="AE72" s="177">
        <f t="shared" si="138"/>
        <v>0.4595588235294118</v>
      </c>
      <c r="AF72" s="555">
        <f t="shared" si="139"/>
        <v>1619.9111111111113</v>
      </c>
      <c r="AG72" s="538">
        <f t="shared" si="140"/>
        <v>2.8952205882352939E-2</v>
      </c>
      <c r="AI72" s="177">
        <f t="shared" si="141"/>
        <v>0.68031738624832017</v>
      </c>
      <c r="AJ72" s="177">
        <f t="shared" si="142"/>
        <v>0.68031738624832017</v>
      </c>
      <c r="AK72" s="177">
        <f t="shared" si="143"/>
        <v>1.4535449241655467</v>
      </c>
      <c r="AM72" s="555">
        <f t="shared" si="144"/>
        <v>134</v>
      </c>
      <c r="AN72" s="469">
        <f t="shared" si="145"/>
        <v>350</v>
      </c>
      <c r="AP72">
        <f t="shared" si="146"/>
        <v>134</v>
      </c>
      <c r="AQ72">
        <f t="shared" si="147"/>
        <v>350</v>
      </c>
      <c r="AS72" s="5">
        <f t="shared" si="175"/>
        <v>2.8571428571428572</v>
      </c>
      <c r="AT72" s="5">
        <f t="shared" si="148"/>
        <v>0.63779754960780022</v>
      </c>
      <c r="AU72" s="5">
        <f t="shared" si="176"/>
        <v>2.2193453075350571</v>
      </c>
      <c r="AV72" s="5">
        <f t="shared" si="149"/>
        <v>1.0421528588362747</v>
      </c>
      <c r="AW72" s="177">
        <f t="shared" si="177"/>
        <v>0.22322914236273006</v>
      </c>
      <c r="AX72" s="177">
        <f t="shared" si="150"/>
        <v>2.4298666666666668</v>
      </c>
      <c r="AY72" s="177">
        <f t="shared" si="151"/>
        <v>0.31707043174899208</v>
      </c>
      <c r="AZ72" s="177">
        <f t="shared" si="178"/>
        <v>7.6634918407978958</v>
      </c>
      <c r="BA72" s="469">
        <f t="shared" si="152"/>
        <v>6.273549245269658</v>
      </c>
      <c r="BB72" s="469">
        <f t="shared" si="153"/>
        <v>0.9802131266666666</v>
      </c>
      <c r="BC72" s="5">
        <f t="shared" si="154"/>
        <v>0.10326120528114502</v>
      </c>
      <c r="BD72" s="469">
        <f t="shared" si="155"/>
        <v>16.745126178316539</v>
      </c>
      <c r="BE72" s="5"/>
      <c r="BF72" s="177">
        <f t="shared" si="179"/>
        <v>0.1855779564180613</v>
      </c>
      <c r="BG72" s="177">
        <f t="shared" si="156"/>
        <v>0.41541162948006233</v>
      </c>
      <c r="BH72" s="177"/>
      <c r="BI72" s="538">
        <f t="shared" si="157"/>
        <v>1.2053712267906349E-2</v>
      </c>
      <c r="BJ72" s="538">
        <f t="shared" si="158"/>
        <v>6.1413611091408367E-2</v>
      </c>
      <c r="BK72" s="538">
        <f t="shared" si="159"/>
        <v>4.3749999999999995E-3</v>
      </c>
      <c r="BL72" s="538">
        <f t="shared" si="160"/>
        <v>4.6565908480000008E-2</v>
      </c>
      <c r="BM72">
        <f t="shared" si="161"/>
        <v>9.2800000000000001E-3</v>
      </c>
      <c r="BN72">
        <f t="shared" si="162"/>
        <v>2.3625000000000002E-5</v>
      </c>
      <c r="BO72" s="538">
        <f t="shared" si="163"/>
        <v>0.13564076082815282</v>
      </c>
      <c r="BP72" s="469">
        <f t="shared" si="180"/>
        <v>135.64076082815282</v>
      </c>
      <c r="BQ72" s="538">
        <f t="shared" si="164"/>
        <v>0.11710852596858121</v>
      </c>
      <c r="BR72" s="538"/>
      <c r="BT72" s="469">
        <f t="shared" si="181"/>
        <v>117.1085259685812</v>
      </c>
      <c r="BU72" s="538">
        <f t="shared" si="165"/>
        <v>3.4439177908303859E-3</v>
      </c>
      <c r="BV72" s="538">
        <f t="shared" si="166"/>
        <v>5.1770046572184175E-3</v>
      </c>
      <c r="BW72" s="538">
        <f t="shared" si="167"/>
        <v>0</v>
      </c>
      <c r="BX72" s="538">
        <f t="shared" si="168"/>
        <v>9.6620968368159189E-3</v>
      </c>
      <c r="BY72" s="538">
        <f t="shared" si="169"/>
        <v>8.0995555555555578E-3</v>
      </c>
      <c r="BZ72" s="469">
        <f t="shared" si="182"/>
        <v>17.761652392371477</v>
      </c>
      <c r="CA72" s="177">
        <f t="shared" si="183"/>
        <v>0.27051093918910551</v>
      </c>
      <c r="CB72" s="5">
        <f t="shared" si="184"/>
        <v>2.1440000000000001</v>
      </c>
      <c r="CC72" s="177">
        <f t="shared" si="185"/>
        <v>0.88796450047148912</v>
      </c>
      <c r="CD72" s="5">
        <f t="shared" si="186"/>
        <v>88.796450047148909</v>
      </c>
      <c r="CG72" s="571">
        <f t="shared" si="170"/>
        <v>-50</v>
      </c>
      <c r="CH72">
        <f t="shared" si="171"/>
        <v>-50</v>
      </c>
    </row>
    <row r="73" spans="5:86" x14ac:dyDescent="0.25">
      <c r="E73" s="174">
        <v>68</v>
      </c>
      <c r="F73" s="221">
        <f t="shared" si="172"/>
        <v>0.13600000000000001</v>
      </c>
      <c r="G73" s="221"/>
      <c r="H73" s="221">
        <f t="shared" si="120"/>
        <v>2.1760000000000002</v>
      </c>
      <c r="I73" s="551">
        <f t="shared" si="121"/>
        <v>32</v>
      </c>
      <c r="J73" s="176">
        <f t="shared" si="122"/>
        <v>19.584</v>
      </c>
      <c r="K73" s="451">
        <f t="shared" si="123"/>
        <v>51.584000000000003</v>
      </c>
      <c r="L73" s="451"/>
      <c r="M73" s="221">
        <f t="shared" si="124"/>
        <v>0.37965260545905705</v>
      </c>
      <c r="N73" s="176">
        <f t="shared" si="125"/>
        <v>8.200496277915633</v>
      </c>
      <c r="O73" s="176">
        <f t="shared" si="173"/>
        <v>2.1760000000000002</v>
      </c>
      <c r="P73" s="221">
        <f t="shared" si="126"/>
        <v>0.51253101736972706</v>
      </c>
      <c r="Q73" s="221">
        <f t="shared" si="127"/>
        <v>16</v>
      </c>
      <c r="R73" s="221">
        <f t="shared" si="128"/>
        <v>0.56947890818858549</v>
      </c>
      <c r="S73" s="176">
        <f t="shared" si="129"/>
        <v>132.22124521954365</v>
      </c>
      <c r="T73" s="176">
        <f t="shared" si="130"/>
        <v>16</v>
      </c>
      <c r="U73" s="221">
        <f t="shared" si="131"/>
        <v>0.39802469135802476</v>
      </c>
      <c r="V73" s="221">
        <f t="shared" si="132"/>
        <v>0.37314814814814823</v>
      </c>
      <c r="W73" s="221">
        <f t="shared" si="133"/>
        <v>0.60971919632050364</v>
      </c>
      <c r="X73" s="201">
        <f t="shared" si="134"/>
        <v>350</v>
      </c>
      <c r="Y73" s="451">
        <f t="shared" si="174"/>
        <v>350</v>
      </c>
      <c r="AA73" s="221">
        <f t="shared" si="135"/>
        <v>1.1570365118752215</v>
      </c>
      <c r="AB73" s="177">
        <f t="shared" si="136"/>
        <v>1.7724211272598367</v>
      </c>
      <c r="AC73" s="177">
        <f t="shared" si="137"/>
        <v>0.4306587513183206</v>
      </c>
      <c r="AD73" s="177"/>
      <c r="AE73" s="177">
        <f t="shared" si="138"/>
        <v>0.4595588235294118</v>
      </c>
      <c r="AF73" s="555">
        <f t="shared" si="139"/>
        <v>1644.0888888888892</v>
      </c>
      <c r="AG73" s="538">
        <f t="shared" si="140"/>
        <v>2.8952205882352939E-2</v>
      </c>
      <c r="AI73" s="177">
        <f t="shared" si="141"/>
        <v>0.68537557772339863</v>
      </c>
      <c r="AJ73" s="177">
        <f t="shared" si="142"/>
        <v>0.68537557772339863</v>
      </c>
      <c r="AK73" s="177">
        <f t="shared" si="143"/>
        <v>1.4569170518155992</v>
      </c>
      <c r="AM73" s="555">
        <f t="shared" si="144"/>
        <v>136</v>
      </c>
      <c r="AN73" s="469">
        <f t="shared" si="145"/>
        <v>350</v>
      </c>
      <c r="AP73">
        <f t="shared" si="146"/>
        <v>136</v>
      </c>
      <c r="AQ73">
        <f t="shared" si="147"/>
        <v>350</v>
      </c>
      <c r="AS73" s="5">
        <f t="shared" si="175"/>
        <v>2.8571428571428572</v>
      </c>
      <c r="AT73" s="5">
        <f t="shared" si="148"/>
        <v>0.64253960411568622</v>
      </c>
      <c r="AU73" s="5">
        <f t="shared" si="176"/>
        <v>2.2146032530271711</v>
      </c>
      <c r="AV73" s="5">
        <f t="shared" si="149"/>
        <v>1.0499013139145199</v>
      </c>
      <c r="AW73" s="177">
        <f t="shared" si="177"/>
        <v>0.22488886144049017</v>
      </c>
      <c r="AX73" s="177">
        <f t="shared" si="150"/>
        <v>2.4661333333333331</v>
      </c>
      <c r="AY73" s="177">
        <f t="shared" si="151"/>
        <v>0.31874534663403919</v>
      </c>
      <c r="AZ73" s="177">
        <f t="shared" si="178"/>
        <v>7.7370018397939857</v>
      </c>
      <c r="BA73" s="469">
        <f t="shared" si="152"/>
        <v>6.273549245269658</v>
      </c>
      <c r="BB73" s="469">
        <f t="shared" si="153"/>
        <v>1.0036020266666665</v>
      </c>
      <c r="BC73" s="5">
        <f t="shared" si="154"/>
        <v>0.1045784869485053</v>
      </c>
      <c r="BD73" s="469">
        <f t="shared" si="155"/>
        <v>16.959224578427516</v>
      </c>
      <c r="BE73" s="5"/>
      <c r="BF73" s="177">
        <f t="shared" si="179"/>
        <v>0.18765146982261777</v>
      </c>
      <c r="BG73" s="177">
        <f t="shared" si="156"/>
        <v>0.41805289243917404</v>
      </c>
      <c r="BH73" s="177"/>
      <c r="BI73" s="538">
        <f t="shared" si="157"/>
        <v>1.2324575944306089E-2</v>
      </c>
      <c r="BJ73" s="538">
        <f t="shared" si="158"/>
        <v>6.1870224152246647E-2</v>
      </c>
      <c r="BK73" s="538">
        <f t="shared" si="159"/>
        <v>4.3749999999999995E-3</v>
      </c>
      <c r="BL73" s="538">
        <f t="shared" si="160"/>
        <v>4.6565908480000008E-2</v>
      </c>
      <c r="BM73">
        <f t="shared" si="161"/>
        <v>9.2800000000000001E-3</v>
      </c>
      <c r="BN73">
        <f t="shared" si="162"/>
        <v>2.3625000000000002E-5</v>
      </c>
      <c r="BO73" s="538">
        <f t="shared" si="163"/>
        <v>0.13641333947475498</v>
      </c>
      <c r="BP73" s="469">
        <f t="shared" si="180"/>
        <v>136.41333947475499</v>
      </c>
      <c r="BQ73" s="538">
        <f t="shared" si="164"/>
        <v>0.11871346037492218</v>
      </c>
      <c r="BR73" s="538"/>
      <c r="BT73" s="469">
        <f t="shared" si="181"/>
        <v>118.71346037492218</v>
      </c>
      <c r="BU73" s="538">
        <f t="shared" si="165"/>
        <v>3.5213074126588828E-3</v>
      </c>
      <c r="BV73" s="538">
        <f t="shared" si="166"/>
        <v>5.2430466263027877E-3</v>
      </c>
      <c r="BW73" s="538">
        <f t="shared" si="167"/>
        <v>0</v>
      </c>
      <c r="BX73" s="538">
        <f t="shared" si="168"/>
        <v>9.8229638782883731E-3</v>
      </c>
      <c r="BY73" s="538">
        <f t="shared" si="169"/>
        <v>8.2204444444444434E-3</v>
      </c>
      <c r="BZ73" s="469">
        <f t="shared" si="182"/>
        <v>18.043408322732816</v>
      </c>
      <c r="CA73" s="177">
        <f t="shared" si="183"/>
        <v>0.27317020817240995</v>
      </c>
      <c r="CB73" s="5">
        <f t="shared" si="184"/>
        <v>2.1760000000000002</v>
      </c>
      <c r="CC73" s="177">
        <f t="shared" si="185"/>
        <v>0.88846417972058722</v>
      </c>
      <c r="CD73" s="5">
        <f t="shared" si="186"/>
        <v>88.846417972058717</v>
      </c>
      <c r="CG73" s="571">
        <f t="shared" si="170"/>
        <v>-50</v>
      </c>
      <c r="CH73">
        <f t="shared" si="171"/>
        <v>-50</v>
      </c>
    </row>
    <row r="74" spans="5:86" x14ac:dyDescent="0.25">
      <c r="E74" s="174">
        <v>69</v>
      </c>
      <c r="F74" s="221">
        <f t="shared" si="172"/>
        <v>0.13799999999999998</v>
      </c>
      <c r="G74" s="221"/>
      <c r="H74" s="221">
        <f t="shared" si="120"/>
        <v>2.2079999999999997</v>
      </c>
      <c r="I74" s="551">
        <f t="shared" si="121"/>
        <v>32</v>
      </c>
      <c r="J74" s="176">
        <f t="shared" si="122"/>
        <v>19.584</v>
      </c>
      <c r="K74" s="451">
        <f t="shared" si="123"/>
        <v>51.584000000000003</v>
      </c>
      <c r="L74" s="451"/>
      <c r="M74" s="221">
        <f t="shared" si="124"/>
        <v>0.37965260545905705</v>
      </c>
      <c r="N74" s="176">
        <f t="shared" si="125"/>
        <v>8.200496277915633</v>
      </c>
      <c r="O74" s="176">
        <f t="shared" si="173"/>
        <v>2.2079999999999997</v>
      </c>
      <c r="P74" s="221">
        <f t="shared" si="126"/>
        <v>0.51253101736972706</v>
      </c>
      <c r="Q74" s="221">
        <f t="shared" si="127"/>
        <v>16</v>
      </c>
      <c r="R74" s="221">
        <f t="shared" si="128"/>
        <v>0.56947890818858549</v>
      </c>
      <c r="S74" s="176">
        <f t="shared" si="129"/>
        <v>129.9205922313547</v>
      </c>
      <c r="T74" s="176">
        <f t="shared" si="130"/>
        <v>16</v>
      </c>
      <c r="U74" s="221">
        <f t="shared" si="131"/>
        <v>0.40387799564270149</v>
      </c>
      <c r="V74" s="221">
        <f t="shared" si="132"/>
        <v>0.37863562091503267</v>
      </c>
      <c r="W74" s="221">
        <f t="shared" si="133"/>
        <v>0.61868565508992268</v>
      </c>
      <c r="X74" s="201">
        <f t="shared" si="134"/>
        <v>350</v>
      </c>
      <c r="Y74" s="451">
        <f t="shared" si="174"/>
        <v>350</v>
      </c>
      <c r="AA74" s="221">
        <f t="shared" si="135"/>
        <v>1.1570365118752215</v>
      </c>
      <c r="AB74" s="177">
        <f t="shared" si="136"/>
        <v>1.7724211272598367</v>
      </c>
      <c r="AC74" s="177">
        <f t="shared" si="137"/>
        <v>0.4306587513183206</v>
      </c>
      <c r="AD74" s="177"/>
      <c r="AE74" s="177">
        <f t="shared" si="138"/>
        <v>0.4595588235294118</v>
      </c>
      <c r="AF74" s="555">
        <f t="shared" si="139"/>
        <v>1668.2666666666664</v>
      </c>
      <c r="AG74" s="538">
        <f t="shared" si="140"/>
        <v>2.8952205882352939E-2</v>
      </c>
      <c r="AI74" s="177">
        <f t="shared" si="141"/>
        <v>0.69039671135342107</v>
      </c>
      <c r="AJ74" s="177">
        <f t="shared" si="142"/>
        <v>0.69039671135342107</v>
      </c>
      <c r="AK74" s="177">
        <f t="shared" si="143"/>
        <v>1.4602644742356141</v>
      </c>
      <c r="AM74" s="555">
        <f t="shared" si="144"/>
        <v>137.99999999999997</v>
      </c>
      <c r="AN74" s="469">
        <f t="shared" si="145"/>
        <v>350</v>
      </c>
      <c r="AP74">
        <f t="shared" si="146"/>
        <v>137.99999999999997</v>
      </c>
      <c r="AQ74">
        <f t="shared" si="147"/>
        <v>350</v>
      </c>
      <c r="AS74" s="5">
        <f t="shared" si="175"/>
        <v>2.8571428571428572</v>
      </c>
      <c r="AT74" s="5">
        <f t="shared" si="148"/>
        <v>0.64724691689383218</v>
      </c>
      <c r="AU74" s="5">
        <f t="shared" si="176"/>
        <v>2.2098959402490248</v>
      </c>
      <c r="AV74" s="5">
        <f t="shared" si="149"/>
        <v>1.0575930014605102</v>
      </c>
      <c r="AW74" s="177">
        <f t="shared" si="177"/>
        <v>0.22653642091284126</v>
      </c>
      <c r="AX74" s="177">
        <f t="shared" si="150"/>
        <v>2.5023999999999997</v>
      </c>
      <c r="AY74" s="177">
        <f t="shared" si="151"/>
        <v>0.32039802681205265</v>
      </c>
      <c r="AZ74" s="177">
        <f t="shared" si="178"/>
        <v>7.8102853032485191</v>
      </c>
      <c r="BA74" s="469">
        <f t="shared" si="152"/>
        <v>6.273549245269658</v>
      </c>
      <c r="BB74" s="469">
        <f t="shared" si="153"/>
        <v>1.0272485399999995</v>
      </c>
      <c r="BC74" s="5">
        <f t="shared" si="154"/>
        <v>0.10589084713693243</v>
      </c>
      <c r="BD74" s="469">
        <f t="shared" si="155"/>
        <v>17.172535541909191</v>
      </c>
      <c r="BE74" s="5"/>
      <c r="BF74" s="177">
        <f t="shared" si="179"/>
        <v>0.18971737370421562</v>
      </c>
      <c r="BG74" s="177">
        <f t="shared" si="156"/>
        <v>0.42066779675669619</v>
      </c>
      <c r="BH74" s="177"/>
      <c r="BI74" s="538">
        <f t="shared" si="157"/>
        <v>1.259743865982875E-2</v>
      </c>
      <c r="BJ74" s="538">
        <f t="shared" si="158"/>
        <v>6.2323491927296026E-2</v>
      </c>
      <c r="BK74" s="538">
        <f t="shared" si="159"/>
        <v>4.3749999999999995E-3</v>
      </c>
      <c r="BL74" s="538">
        <f t="shared" si="160"/>
        <v>4.6565908480000008E-2</v>
      </c>
      <c r="BM74">
        <f t="shared" si="161"/>
        <v>9.2800000000000001E-3</v>
      </c>
      <c r="BN74">
        <f t="shared" si="162"/>
        <v>2.3625000000000002E-5</v>
      </c>
      <c r="BO74" s="538">
        <f t="shared" si="163"/>
        <v>0.13718496735067745</v>
      </c>
      <c r="BP74" s="469">
        <f t="shared" si="180"/>
        <v>137.18496735067745</v>
      </c>
      <c r="BQ74" s="538">
        <f t="shared" si="164"/>
        <v>0.12031525297714685</v>
      </c>
      <c r="BR74" s="538"/>
      <c r="BT74" s="469">
        <f t="shared" si="181"/>
        <v>120.31525297714684</v>
      </c>
      <c r="BU74" s="538">
        <f t="shared" si="165"/>
        <v>3.5992681885225006E-3</v>
      </c>
      <c r="BV74" s="538">
        <f t="shared" si="166"/>
        <v>5.3088418568439915E-3</v>
      </c>
      <c r="BW74" s="538">
        <f t="shared" si="167"/>
        <v>0</v>
      </c>
      <c r="BX74" s="538">
        <f t="shared" si="168"/>
        <v>9.9841984779109536E-3</v>
      </c>
      <c r="BY74" s="538">
        <f t="shared" si="169"/>
        <v>8.3413333333333325E-3</v>
      </c>
      <c r="BZ74" s="469">
        <f t="shared" si="182"/>
        <v>18.325531811244286</v>
      </c>
      <c r="CA74" s="177">
        <f t="shared" si="183"/>
        <v>0.27582575213906851</v>
      </c>
      <c r="CB74" s="5">
        <f t="shared" si="184"/>
        <v>2.2079999999999997</v>
      </c>
      <c r="CC74" s="177">
        <f t="shared" si="185"/>
        <v>0.88895124712289997</v>
      </c>
      <c r="CD74" s="5">
        <f t="shared" si="186"/>
        <v>88.895124712289999</v>
      </c>
      <c r="CG74" s="571">
        <f t="shared" si="170"/>
        <v>-50</v>
      </c>
      <c r="CH74">
        <f t="shared" si="171"/>
        <v>-50</v>
      </c>
    </row>
    <row r="75" spans="5:86" x14ac:dyDescent="0.25">
      <c r="E75" s="174">
        <v>70</v>
      </c>
      <c r="F75" s="221">
        <f t="shared" si="172"/>
        <v>0.13999999999999999</v>
      </c>
      <c r="G75" s="221"/>
      <c r="H75" s="221">
        <f t="shared" si="120"/>
        <v>2.2399999999999998</v>
      </c>
      <c r="I75" s="551">
        <f t="shared" si="121"/>
        <v>32</v>
      </c>
      <c r="J75" s="176">
        <f t="shared" si="122"/>
        <v>19.584</v>
      </c>
      <c r="K75" s="451">
        <f t="shared" si="123"/>
        <v>51.584000000000003</v>
      </c>
      <c r="L75" s="451"/>
      <c r="M75" s="221">
        <f t="shared" si="124"/>
        <v>0.37965260545905705</v>
      </c>
      <c r="N75" s="176">
        <f t="shared" si="125"/>
        <v>8.200496277915633</v>
      </c>
      <c r="O75" s="176">
        <f t="shared" si="173"/>
        <v>2.2399999999999998</v>
      </c>
      <c r="P75" s="221">
        <f t="shared" si="126"/>
        <v>0.51253101736972706</v>
      </c>
      <c r="Q75" s="221">
        <f t="shared" si="127"/>
        <v>16</v>
      </c>
      <c r="R75" s="221">
        <f t="shared" si="128"/>
        <v>0.56947890818858549</v>
      </c>
      <c r="S75" s="176">
        <f t="shared" si="129"/>
        <v>127.68571131120578</v>
      </c>
      <c r="T75" s="176">
        <f t="shared" si="130"/>
        <v>16</v>
      </c>
      <c r="U75" s="221">
        <f t="shared" si="131"/>
        <v>0.40973129992737833</v>
      </c>
      <c r="V75" s="221">
        <f t="shared" si="132"/>
        <v>0.38412309368191716</v>
      </c>
      <c r="W75" s="221">
        <f t="shared" si="133"/>
        <v>0.62765211385934183</v>
      </c>
      <c r="X75" s="201">
        <f t="shared" si="134"/>
        <v>350</v>
      </c>
      <c r="Y75" s="451">
        <f t="shared" si="174"/>
        <v>350</v>
      </c>
      <c r="AA75" s="221">
        <f t="shared" si="135"/>
        <v>1.1570365118752215</v>
      </c>
      <c r="AB75" s="177">
        <f t="shared" si="136"/>
        <v>1.7724211272598367</v>
      </c>
      <c r="AC75" s="177">
        <f t="shared" si="137"/>
        <v>0.4306587513183206</v>
      </c>
      <c r="AD75" s="177"/>
      <c r="AE75" s="177">
        <f t="shared" si="138"/>
        <v>0.4595588235294118</v>
      </c>
      <c r="AF75" s="555">
        <f t="shared" si="139"/>
        <v>1692.4444444444446</v>
      </c>
      <c r="AG75" s="538">
        <f t="shared" si="140"/>
        <v>2.8952205882352939E-2</v>
      </c>
      <c r="AI75" s="177">
        <f t="shared" si="141"/>
        <v>0.69538158988828247</v>
      </c>
      <c r="AJ75" s="177">
        <f t="shared" si="142"/>
        <v>0.69538158988828247</v>
      </c>
      <c r="AK75" s="177">
        <f t="shared" si="143"/>
        <v>1.4635877265921884</v>
      </c>
      <c r="AM75" s="555">
        <f t="shared" si="144"/>
        <v>139.99999999999997</v>
      </c>
      <c r="AN75" s="469">
        <f t="shared" si="145"/>
        <v>350</v>
      </c>
      <c r="AP75">
        <f t="shared" si="146"/>
        <v>139.99999999999997</v>
      </c>
      <c r="AQ75">
        <f t="shared" si="147"/>
        <v>350</v>
      </c>
      <c r="AS75" s="5">
        <f t="shared" si="175"/>
        <v>2.8571428571428572</v>
      </c>
      <c r="AT75" s="5">
        <f t="shared" si="148"/>
        <v>0.65192024052026476</v>
      </c>
      <c r="AU75" s="5">
        <f t="shared" si="176"/>
        <v>2.2052226166225926</v>
      </c>
      <c r="AV75" s="5">
        <f t="shared" si="149"/>
        <v>1.0652291511769032</v>
      </c>
      <c r="AW75" s="177">
        <f t="shared" si="177"/>
        <v>0.22817208418209267</v>
      </c>
      <c r="AX75" s="177">
        <f t="shared" si="150"/>
        <v>2.538666666666666</v>
      </c>
      <c r="AY75" s="177">
        <f t="shared" si="151"/>
        <v>0.32202895393296949</v>
      </c>
      <c r="AZ75" s="177">
        <f t="shared" si="178"/>
        <v>7.8833491077795781</v>
      </c>
      <c r="BA75" s="469">
        <f t="shared" si="152"/>
        <v>6.273549245269658</v>
      </c>
      <c r="BB75" s="469">
        <f t="shared" si="153"/>
        <v>1.0511526666666664</v>
      </c>
      <c r="BC75" s="5">
        <f t="shared" si="154"/>
        <v>0.10719832164137601</v>
      </c>
      <c r="BD75" s="469">
        <f t="shared" si="155"/>
        <v>17.385064795953493</v>
      </c>
      <c r="BE75" s="5"/>
      <c r="BF75" s="177">
        <f t="shared" si="179"/>
        <v>0.19177580567678568</v>
      </c>
      <c r="BG75" s="177">
        <f t="shared" si="156"/>
        <v>0.42325690163395457</v>
      </c>
      <c r="BH75" s="177"/>
      <c r="BI75" s="538">
        <f t="shared" si="157"/>
        <v>1.2872285875043089E-2</v>
      </c>
      <c r="BJ75" s="538">
        <f t="shared" si="158"/>
        <v>6.2773486882395049E-2</v>
      </c>
      <c r="BK75" s="538">
        <f t="shared" si="159"/>
        <v>4.3749999999999995E-3</v>
      </c>
      <c r="BL75" s="538">
        <f t="shared" si="160"/>
        <v>4.6565908480000008E-2</v>
      </c>
      <c r="BM75">
        <f t="shared" si="161"/>
        <v>9.2800000000000001E-3</v>
      </c>
      <c r="BN75">
        <f t="shared" si="162"/>
        <v>2.3625000000000002E-5</v>
      </c>
      <c r="BO75" s="538">
        <f t="shared" si="163"/>
        <v>0.13795570089365805</v>
      </c>
      <c r="BP75" s="469">
        <f t="shared" si="180"/>
        <v>137.95570089365805</v>
      </c>
      <c r="BQ75" s="538">
        <f t="shared" si="164"/>
        <v>0.12191392662625611</v>
      </c>
      <c r="BR75" s="538"/>
      <c r="BT75" s="469">
        <f t="shared" si="181"/>
        <v>121.91392662625611</v>
      </c>
      <c r="BU75" s="538">
        <f t="shared" si="165"/>
        <v>3.6777959642980262E-3</v>
      </c>
      <c r="BV75" s="538">
        <f t="shared" si="166"/>
        <v>5.3743921434232528E-3</v>
      </c>
      <c r="BW75" s="538">
        <f t="shared" si="167"/>
        <v>0</v>
      </c>
      <c r="BX75" s="538">
        <f t="shared" si="168"/>
        <v>1.014579801441819E-2</v>
      </c>
      <c r="BY75" s="538">
        <f t="shared" si="169"/>
        <v>8.4622222222222217E-3</v>
      </c>
      <c r="BZ75" s="469">
        <f t="shared" si="182"/>
        <v>18.60802023664041</v>
      </c>
      <c r="CA75" s="177">
        <f t="shared" si="183"/>
        <v>0.27847764775655454</v>
      </c>
      <c r="CB75" s="5">
        <f t="shared" si="184"/>
        <v>2.2399999999999998</v>
      </c>
      <c r="CC75" s="177">
        <f t="shared" si="185"/>
        <v>0.88942619840020376</v>
      </c>
      <c r="CD75" s="5">
        <f t="shared" si="186"/>
        <v>88.94261984002037</v>
      </c>
      <c r="CG75" s="571">
        <f t="shared" si="170"/>
        <v>-50</v>
      </c>
      <c r="CH75">
        <f t="shared" si="171"/>
        <v>-50</v>
      </c>
    </row>
    <row r="76" spans="5:86" x14ac:dyDescent="0.25">
      <c r="E76" s="174">
        <v>71</v>
      </c>
      <c r="F76" s="221">
        <f t="shared" si="172"/>
        <v>0.14199999999999999</v>
      </c>
      <c r="G76" s="221"/>
      <c r="H76" s="221">
        <f t="shared" si="120"/>
        <v>2.2719999999999998</v>
      </c>
      <c r="I76" s="551">
        <f t="shared" si="121"/>
        <v>32</v>
      </c>
      <c r="J76" s="176">
        <f t="shared" si="122"/>
        <v>19.584</v>
      </c>
      <c r="K76" s="451">
        <f t="shared" si="123"/>
        <v>51.584000000000003</v>
      </c>
      <c r="L76" s="451"/>
      <c r="M76" s="221">
        <f t="shared" si="124"/>
        <v>0.37965260545905705</v>
      </c>
      <c r="N76" s="176">
        <f t="shared" si="125"/>
        <v>8.200496277915633</v>
      </c>
      <c r="O76" s="176">
        <f t="shared" si="173"/>
        <v>2.2719999999999998</v>
      </c>
      <c r="P76" s="221">
        <f t="shared" si="126"/>
        <v>0.51253101736972706</v>
      </c>
      <c r="Q76" s="221">
        <f t="shared" si="127"/>
        <v>16</v>
      </c>
      <c r="R76" s="221">
        <f t="shared" si="128"/>
        <v>0.56947890818858549</v>
      </c>
      <c r="S76" s="176">
        <f t="shared" si="129"/>
        <v>125.51382369494131</v>
      </c>
      <c r="T76" s="176">
        <f t="shared" si="130"/>
        <v>16</v>
      </c>
      <c r="U76" s="221">
        <f t="shared" si="131"/>
        <v>0.41558460421205518</v>
      </c>
      <c r="V76" s="221">
        <f t="shared" si="132"/>
        <v>0.38961056644880171</v>
      </c>
      <c r="W76" s="221">
        <f t="shared" si="133"/>
        <v>0.63661857262876098</v>
      </c>
      <c r="X76" s="201">
        <f t="shared" si="134"/>
        <v>350</v>
      </c>
      <c r="Y76" s="451">
        <f t="shared" si="174"/>
        <v>350</v>
      </c>
      <c r="AA76" s="221">
        <f t="shared" si="135"/>
        <v>1.1570365118752215</v>
      </c>
      <c r="AB76" s="177">
        <f t="shared" si="136"/>
        <v>1.7724211272598367</v>
      </c>
      <c r="AC76" s="177">
        <f t="shared" si="137"/>
        <v>0.4306587513183206</v>
      </c>
      <c r="AD76" s="177"/>
      <c r="AE76" s="177">
        <f t="shared" si="138"/>
        <v>0.4595588235294118</v>
      </c>
      <c r="AF76" s="555">
        <f t="shared" si="139"/>
        <v>1716.6222222222223</v>
      </c>
      <c r="AG76" s="538">
        <f t="shared" si="140"/>
        <v>2.8952205882352939E-2</v>
      </c>
      <c r="AI76" s="177">
        <f t="shared" si="141"/>
        <v>0.70033098750768696</v>
      </c>
      <c r="AJ76" s="177">
        <f t="shared" si="142"/>
        <v>0.70033098750768696</v>
      </c>
      <c r="AK76" s="177">
        <f t="shared" si="143"/>
        <v>1.4668873250051246</v>
      </c>
      <c r="AM76" s="555">
        <f t="shared" si="144"/>
        <v>142</v>
      </c>
      <c r="AN76" s="469">
        <f t="shared" si="145"/>
        <v>350</v>
      </c>
      <c r="AP76">
        <f t="shared" si="146"/>
        <v>142</v>
      </c>
      <c r="AQ76">
        <f t="shared" si="147"/>
        <v>350</v>
      </c>
      <c r="AS76" s="5">
        <f t="shared" si="175"/>
        <v>2.8571428571428572</v>
      </c>
      <c r="AT76" s="5">
        <f t="shared" si="148"/>
        <v>0.65656030078845662</v>
      </c>
      <c r="AU76" s="5">
        <f t="shared" si="176"/>
        <v>2.2005825563544006</v>
      </c>
      <c r="AV76" s="5">
        <f t="shared" si="149"/>
        <v>1.072810949000746</v>
      </c>
      <c r="AW76" s="177">
        <f t="shared" si="177"/>
        <v>0.22979610527595981</v>
      </c>
      <c r="AX76" s="177">
        <f t="shared" si="150"/>
        <v>2.5749333333333331</v>
      </c>
      <c r="AY76" s="177">
        <f t="shared" si="151"/>
        <v>0.32363859250461219</v>
      </c>
      <c r="AZ76" s="177">
        <f t="shared" si="178"/>
        <v>7.9561998876776032</v>
      </c>
      <c r="BA76" s="469">
        <f t="shared" si="152"/>
        <v>6.273549245269658</v>
      </c>
      <c r="BB76" s="469">
        <f t="shared" si="153"/>
        <v>1.0753144066666662</v>
      </c>
      <c r="BC76" s="5">
        <f t="shared" si="154"/>
        <v>0.10850094548691835</v>
      </c>
      <c r="BD76" s="469">
        <f t="shared" si="155"/>
        <v>17.596817944573605</v>
      </c>
      <c r="BE76" s="5"/>
      <c r="BF76" s="177">
        <f t="shared" si="179"/>
        <v>0.19382689893840596</v>
      </c>
      <c r="BG76" s="177">
        <f t="shared" si="156"/>
        <v>0.42582074640332207</v>
      </c>
      <c r="BH76" s="177"/>
      <c r="BI76" s="538">
        <f t="shared" si="157"/>
        <v>1.3149103363227662E-2</v>
      </c>
      <c r="BJ76" s="538">
        <f t="shared" si="158"/>
        <v>6.3220278904293922E-2</v>
      </c>
      <c r="BK76" s="538">
        <f t="shared" si="159"/>
        <v>4.3749999999999995E-3</v>
      </c>
      <c r="BL76" s="538">
        <f t="shared" si="160"/>
        <v>4.6565908480000008E-2</v>
      </c>
      <c r="BM76">
        <f t="shared" si="161"/>
        <v>9.2800000000000001E-3</v>
      </c>
      <c r="BN76">
        <f t="shared" si="162"/>
        <v>2.3625000000000002E-5</v>
      </c>
      <c r="BO76" s="538">
        <f t="shared" si="163"/>
        <v>0.13872559432105566</v>
      </c>
      <c r="BP76" s="469">
        <f t="shared" si="180"/>
        <v>138.72559432105567</v>
      </c>
      <c r="BQ76" s="538">
        <f t="shared" si="164"/>
        <v>0.12350950368177827</v>
      </c>
      <c r="BR76" s="538"/>
      <c r="BT76" s="469">
        <f t="shared" si="181"/>
        <v>123.50950368177827</v>
      </c>
      <c r="BU76" s="538">
        <f t="shared" si="165"/>
        <v>3.756886675207904E-3</v>
      </c>
      <c r="BV76" s="538">
        <f t="shared" si="166"/>
        <v>5.4396992420244691E-3</v>
      </c>
      <c r="BW76" s="538">
        <f t="shared" si="167"/>
        <v>0</v>
      </c>
      <c r="BX76" s="538">
        <f t="shared" si="168"/>
        <v>1.0307759923280152E-2</v>
      </c>
      <c r="BY76" s="538">
        <f t="shared" si="169"/>
        <v>8.5831111111111091E-3</v>
      </c>
      <c r="BZ76" s="469">
        <f t="shared" si="182"/>
        <v>18.89087103439126</v>
      </c>
      <c r="CA76" s="177">
        <f t="shared" si="183"/>
        <v>0.2811259690372252</v>
      </c>
      <c r="CB76" s="5">
        <f t="shared" si="184"/>
        <v>2.2719999999999998</v>
      </c>
      <c r="CC76" s="177">
        <f t="shared" si="185"/>
        <v>0.88988950312418891</v>
      </c>
      <c r="CD76" s="5">
        <f t="shared" si="186"/>
        <v>88.988950312418893</v>
      </c>
      <c r="CG76" s="571">
        <f t="shared" si="170"/>
        <v>-50</v>
      </c>
      <c r="CH76">
        <f t="shared" si="171"/>
        <v>-50</v>
      </c>
    </row>
    <row r="77" spans="5:86" x14ac:dyDescent="0.25">
      <c r="E77" s="174">
        <v>72</v>
      </c>
      <c r="F77" s="221">
        <f t="shared" si="172"/>
        <v>0.14399999999999999</v>
      </c>
      <c r="G77" s="221"/>
      <c r="H77" s="221">
        <f t="shared" si="120"/>
        <v>2.3039999999999998</v>
      </c>
      <c r="I77" s="551">
        <f t="shared" si="121"/>
        <v>32</v>
      </c>
      <c r="J77" s="176">
        <f t="shared" si="122"/>
        <v>19.584</v>
      </c>
      <c r="K77" s="451">
        <f t="shared" si="123"/>
        <v>51.584000000000003</v>
      </c>
      <c r="L77" s="451"/>
      <c r="M77" s="221">
        <f t="shared" si="124"/>
        <v>0.37965260545905705</v>
      </c>
      <c r="N77" s="176">
        <f t="shared" si="125"/>
        <v>8.200496277915633</v>
      </c>
      <c r="O77" s="176">
        <f t="shared" si="173"/>
        <v>2.3039999999999998</v>
      </c>
      <c r="P77" s="221">
        <f t="shared" si="126"/>
        <v>0.51253101736972706</v>
      </c>
      <c r="Q77" s="221">
        <f t="shared" si="127"/>
        <v>16</v>
      </c>
      <c r="R77" s="221">
        <f t="shared" si="128"/>
        <v>0.56947890818858549</v>
      </c>
      <c r="S77" s="176">
        <f t="shared" si="129"/>
        <v>123.40230499800988</v>
      </c>
      <c r="T77" s="176">
        <f t="shared" si="130"/>
        <v>16</v>
      </c>
      <c r="U77" s="221">
        <f t="shared" si="131"/>
        <v>0.42143790849673202</v>
      </c>
      <c r="V77" s="221">
        <f t="shared" si="132"/>
        <v>0.39509803921568626</v>
      </c>
      <c r="W77" s="221">
        <f t="shared" si="133"/>
        <v>0.64558503139818013</v>
      </c>
      <c r="X77" s="201">
        <f t="shared" si="134"/>
        <v>350</v>
      </c>
      <c r="Y77" s="451">
        <f t="shared" si="174"/>
        <v>350</v>
      </c>
      <c r="AA77" s="221">
        <f t="shared" si="135"/>
        <v>1.1570365118752215</v>
      </c>
      <c r="AB77" s="177">
        <f t="shared" si="136"/>
        <v>1.7724211272598367</v>
      </c>
      <c r="AC77" s="177">
        <f t="shared" si="137"/>
        <v>0.4306587513183206</v>
      </c>
      <c r="AD77" s="177"/>
      <c r="AE77" s="177">
        <f t="shared" si="138"/>
        <v>0.4595588235294118</v>
      </c>
      <c r="AF77" s="555">
        <f t="shared" si="139"/>
        <v>1740.8</v>
      </c>
      <c r="AG77" s="538">
        <f t="shared" si="140"/>
        <v>2.8952205882352939E-2</v>
      </c>
      <c r="AI77" s="177">
        <f t="shared" si="141"/>
        <v>0.7052456512247548</v>
      </c>
      <c r="AJ77" s="177">
        <f t="shared" si="142"/>
        <v>0.7052456512247548</v>
      </c>
      <c r="AK77" s="177">
        <f t="shared" si="143"/>
        <v>1.4701637674831698</v>
      </c>
      <c r="AM77" s="555">
        <f t="shared" si="144"/>
        <v>144</v>
      </c>
      <c r="AN77" s="469">
        <f t="shared" si="145"/>
        <v>350</v>
      </c>
      <c r="AP77">
        <f t="shared" si="146"/>
        <v>144</v>
      </c>
      <c r="AQ77">
        <f t="shared" si="147"/>
        <v>350</v>
      </c>
      <c r="AS77" s="5">
        <f t="shared" si="175"/>
        <v>2.8571428571428572</v>
      </c>
      <c r="AT77" s="5">
        <f t="shared" si="148"/>
        <v>0.66116779802320769</v>
      </c>
      <c r="AU77" s="5">
        <f t="shared" si="176"/>
        <v>2.1959750591196494</v>
      </c>
      <c r="AV77" s="5">
        <f t="shared" si="149"/>
        <v>1.0803395392536073</v>
      </c>
      <c r="AW77" s="177">
        <f t="shared" si="177"/>
        <v>0.23140872930812267</v>
      </c>
      <c r="AX77" s="177">
        <f t="shared" si="150"/>
        <v>2.6111999999999997</v>
      </c>
      <c r="AY77" s="177">
        <f t="shared" si="151"/>
        <v>0.32522739073485291</v>
      </c>
      <c r="AZ77" s="177">
        <f t="shared" si="178"/>
        <v>8.0288440469296898</v>
      </c>
      <c r="BA77" s="469">
        <f t="shared" si="152"/>
        <v>6.273549245269658</v>
      </c>
      <c r="BB77" s="469">
        <f t="shared" si="153"/>
        <v>1.0997337599999997</v>
      </c>
      <c r="BC77" s="5">
        <f t="shared" si="154"/>
        <v>0.10979875295598245</v>
      </c>
      <c r="BD77" s="469">
        <f t="shared" si="155"/>
        <v>17.807800472957194</v>
      </c>
      <c r="BE77" s="5"/>
      <c r="BF77" s="177">
        <f t="shared" si="179"/>
        <v>0.1958707824731056</v>
      </c>
      <c r="BG77" s="177">
        <f t="shared" si="156"/>
        <v>0.4283598515033164</v>
      </c>
      <c r="BH77" s="177"/>
      <c r="BI77" s="538">
        <f t="shared" si="157"/>
        <v>1.3427877199319326E-2</v>
      </c>
      <c r="BJ77" s="538">
        <f t="shared" si="158"/>
        <v>6.3663935427361082E-2</v>
      </c>
      <c r="BK77" s="538">
        <f t="shared" si="159"/>
        <v>4.3749999999999995E-3</v>
      </c>
      <c r="BL77" s="538">
        <f t="shared" si="160"/>
        <v>4.6565908480000008E-2</v>
      </c>
      <c r="BM77">
        <f t="shared" si="161"/>
        <v>9.2800000000000001E-3</v>
      </c>
      <c r="BN77">
        <f t="shared" si="162"/>
        <v>2.3625000000000002E-5</v>
      </c>
      <c r="BO77" s="538">
        <f t="shared" si="163"/>
        <v>0.13949469974389109</v>
      </c>
      <c r="BP77" s="469">
        <f t="shared" si="180"/>
        <v>139.49469974389109</v>
      </c>
      <c r="BQ77" s="538">
        <f t="shared" si="164"/>
        <v>0.12510200602913835</v>
      </c>
      <c r="BR77" s="538"/>
      <c r="BT77" s="469">
        <f t="shared" si="181"/>
        <v>125.10200602913835</v>
      </c>
      <c r="BU77" s="538">
        <f t="shared" si="165"/>
        <v>3.8365363426626654E-3</v>
      </c>
      <c r="BV77" s="538">
        <f t="shared" si="166"/>
        <v>5.5047648713982987E-3</v>
      </c>
      <c r="BW77" s="538">
        <f t="shared" si="167"/>
        <v>0</v>
      </c>
      <c r="BX77" s="538">
        <f t="shared" si="168"/>
        <v>1.0470081694695958E-2</v>
      </c>
      <c r="BY77" s="538">
        <f t="shared" si="169"/>
        <v>8.7039999999999982E-3</v>
      </c>
      <c r="BZ77" s="469">
        <f t="shared" si="182"/>
        <v>19.174081694695957</v>
      </c>
      <c r="CA77" s="177">
        <f t="shared" si="183"/>
        <v>0.28377078746772533</v>
      </c>
      <c r="CB77" s="5">
        <f t="shared" si="184"/>
        <v>2.3039999999999998</v>
      </c>
      <c r="CC77" s="177">
        <f t="shared" si="185"/>
        <v>0.89034160643516247</v>
      </c>
      <c r="CD77" s="5">
        <f t="shared" si="186"/>
        <v>89.034160643516245</v>
      </c>
      <c r="CG77" s="571">
        <f t="shared" si="170"/>
        <v>-50</v>
      </c>
      <c r="CH77">
        <f t="shared" si="171"/>
        <v>-50</v>
      </c>
    </row>
    <row r="78" spans="5:86" x14ac:dyDescent="0.25">
      <c r="E78" s="174">
        <v>73</v>
      </c>
      <c r="F78" s="221">
        <f t="shared" si="172"/>
        <v>0.14599999999999999</v>
      </c>
      <c r="G78" s="221"/>
      <c r="H78" s="221">
        <f t="shared" si="120"/>
        <v>2.3359999999999999</v>
      </c>
      <c r="I78" s="551">
        <f t="shared" si="121"/>
        <v>32</v>
      </c>
      <c r="J78" s="176">
        <f t="shared" si="122"/>
        <v>19.584</v>
      </c>
      <c r="K78" s="451">
        <f t="shared" si="123"/>
        <v>51.584000000000003</v>
      </c>
      <c r="L78" s="451"/>
      <c r="M78" s="221">
        <f t="shared" si="124"/>
        <v>0.37965260545905705</v>
      </c>
      <c r="N78" s="176">
        <f t="shared" si="125"/>
        <v>8.200496277915633</v>
      </c>
      <c r="O78" s="176">
        <f t="shared" si="173"/>
        <v>2.3359999999999999</v>
      </c>
      <c r="P78" s="221">
        <f t="shared" si="126"/>
        <v>0.51253101736972706</v>
      </c>
      <c r="Q78" s="221">
        <f t="shared" si="127"/>
        <v>16</v>
      </c>
      <c r="R78" s="221">
        <f t="shared" si="128"/>
        <v>0.56947890818858549</v>
      </c>
      <c r="S78" s="176">
        <f t="shared" si="129"/>
        <v>121.3486746415718</v>
      </c>
      <c r="T78" s="176">
        <f t="shared" si="130"/>
        <v>16</v>
      </c>
      <c r="U78" s="221">
        <f t="shared" si="131"/>
        <v>0.42729121278140886</v>
      </c>
      <c r="V78" s="221">
        <f t="shared" si="132"/>
        <v>0.40058551198257081</v>
      </c>
      <c r="W78" s="221">
        <f t="shared" si="133"/>
        <v>0.65455149016759939</v>
      </c>
      <c r="X78" s="201">
        <f t="shared" si="134"/>
        <v>350</v>
      </c>
      <c r="Y78" s="451">
        <f t="shared" si="174"/>
        <v>350</v>
      </c>
      <c r="AA78" s="221">
        <f t="shared" si="135"/>
        <v>1.1570365118752215</v>
      </c>
      <c r="AB78" s="177">
        <f t="shared" si="136"/>
        <v>1.7724211272598367</v>
      </c>
      <c r="AC78" s="177">
        <f t="shared" si="137"/>
        <v>0.4306587513183206</v>
      </c>
      <c r="AD78" s="177"/>
      <c r="AE78" s="177">
        <f t="shared" si="138"/>
        <v>0.4595588235294118</v>
      </c>
      <c r="AF78" s="555">
        <f t="shared" si="139"/>
        <v>1764.9777777777776</v>
      </c>
      <c r="AG78" s="538">
        <f t="shared" si="140"/>
        <v>2.8952205882352939E-2</v>
      </c>
      <c r="AI78" s="177">
        <f t="shared" si="141"/>
        <v>0.7101263022021963</v>
      </c>
      <c r="AJ78" s="177">
        <f t="shared" si="142"/>
        <v>0.7101263022021963</v>
      </c>
      <c r="AK78" s="177">
        <f t="shared" si="143"/>
        <v>1.4734175348014642</v>
      </c>
      <c r="AM78" s="555">
        <f t="shared" si="144"/>
        <v>146</v>
      </c>
      <c r="AN78" s="469">
        <f t="shared" si="145"/>
        <v>350</v>
      </c>
      <c r="AP78">
        <f t="shared" si="146"/>
        <v>146</v>
      </c>
      <c r="AQ78">
        <f t="shared" si="147"/>
        <v>350</v>
      </c>
      <c r="AS78" s="5">
        <f t="shared" si="175"/>
        <v>2.8571428571428572</v>
      </c>
      <c r="AT78" s="5">
        <f t="shared" si="148"/>
        <v>0.66574340831455914</v>
      </c>
      <c r="AU78" s="5">
        <f t="shared" si="176"/>
        <v>2.1913994488282982</v>
      </c>
      <c r="AV78" s="5">
        <f t="shared" si="149"/>
        <v>1.0878160266577763</v>
      </c>
      <c r="AW78" s="177">
        <f t="shared" si="177"/>
        <v>0.2330101929100957</v>
      </c>
      <c r="AX78" s="177">
        <f t="shared" si="150"/>
        <v>2.647466666666666</v>
      </c>
      <c r="AY78" s="177">
        <f t="shared" si="151"/>
        <v>0.32679578132131776</v>
      </c>
      <c r="AZ78" s="177">
        <f t="shared" si="178"/>
        <v>8.1012877704916839</v>
      </c>
      <c r="BA78" s="469">
        <f t="shared" si="152"/>
        <v>6.273549245269658</v>
      </c>
      <c r="BB78" s="469">
        <f t="shared" si="153"/>
        <v>1.1244107266666663</v>
      </c>
      <c r="BC78" s="5">
        <f t="shared" si="154"/>
        <v>0.11109177761421232</v>
      </c>
      <c r="BD78" s="469">
        <f t="shared" si="155"/>
        <v>18.01801775160731</v>
      </c>
      <c r="BE78" s="5"/>
      <c r="BF78" s="177">
        <f t="shared" si="179"/>
        <v>0.19790758124077631</v>
      </c>
      <c r="BG78" s="177">
        <f t="shared" si="156"/>
        <v>0.4308747193929901</v>
      </c>
      <c r="BH78" s="177"/>
      <c r="BI78" s="538">
        <f t="shared" si="157"/>
        <v>1.3708593749401067E-2</v>
      </c>
      <c r="BJ78" s="538">
        <f t="shared" si="158"/>
        <v>6.4104521552396668E-2</v>
      </c>
      <c r="BK78" s="538">
        <f t="shared" si="159"/>
        <v>4.3749999999999995E-3</v>
      </c>
      <c r="BL78" s="538">
        <f t="shared" si="160"/>
        <v>4.6565908480000008E-2</v>
      </c>
      <c r="BM78">
        <f t="shared" si="161"/>
        <v>9.2800000000000001E-3</v>
      </c>
      <c r="BN78">
        <f t="shared" si="162"/>
        <v>2.3625000000000002E-5</v>
      </c>
      <c r="BO78" s="538">
        <f t="shared" si="163"/>
        <v>0.14026306727361354</v>
      </c>
      <c r="BP78" s="469">
        <f t="shared" si="180"/>
        <v>140.26306727361353</v>
      </c>
      <c r="BQ78" s="538">
        <f t="shared" si="164"/>
        <v>0.12669145509617941</v>
      </c>
      <c r="BR78" s="538"/>
      <c r="BT78" s="469">
        <f t="shared" si="181"/>
        <v>126.69145509617941</v>
      </c>
      <c r="BU78" s="538">
        <f t="shared" si="165"/>
        <v>3.9167410712574484E-3</v>
      </c>
      <c r="BV78" s="538">
        <f t="shared" si="166"/>
        <v>5.5695907143596384E-3</v>
      </c>
      <c r="BW78" s="538">
        <f t="shared" si="167"/>
        <v>0</v>
      </c>
      <c r="BX78" s="538">
        <f t="shared" si="168"/>
        <v>1.0632760871685212E-2</v>
      </c>
      <c r="BY78" s="538">
        <f t="shared" si="169"/>
        <v>8.8248888888888891E-3</v>
      </c>
      <c r="BZ78" s="469">
        <f t="shared" si="182"/>
        <v>19.4576497605741</v>
      </c>
      <c r="CA78" s="177">
        <f t="shared" si="183"/>
        <v>0.28641217213036702</v>
      </c>
      <c r="CB78" s="5">
        <f t="shared" si="184"/>
        <v>2.3359999999999999</v>
      </c>
      <c r="CC78" s="177">
        <f t="shared" si="185"/>
        <v>0.8907829306261591</v>
      </c>
      <c r="CD78" s="5">
        <f t="shared" si="186"/>
        <v>89.078293062615913</v>
      </c>
      <c r="CG78" s="571">
        <f t="shared" si="170"/>
        <v>-50</v>
      </c>
      <c r="CH78">
        <f t="shared" si="171"/>
        <v>-50</v>
      </c>
    </row>
    <row r="79" spans="5:86" x14ac:dyDescent="0.25">
      <c r="E79" s="174">
        <v>74</v>
      </c>
      <c r="F79" s="221">
        <f t="shared" si="172"/>
        <v>0.14799999999999999</v>
      </c>
      <c r="G79" s="221"/>
      <c r="H79" s="221">
        <f t="shared" si="120"/>
        <v>2.3679999999999999</v>
      </c>
      <c r="I79" s="551">
        <f t="shared" si="121"/>
        <v>32</v>
      </c>
      <c r="J79" s="176">
        <f t="shared" si="122"/>
        <v>19.584</v>
      </c>
      <c r="K79" s="451">
        <f t="shared" si="123"/>
        <v>51.584000000000003</v>
      </c>
      <c r="L79" s="451"/>
      <c r="M79" s="221">
        <f t="shared" si="124"/>
        <v>0.37965260545905705</v>
      </c>
      <c r="N79" s="176">
        <f t="shared" si="125"/>
        <v>8.200496277915633</v>
      </c>
      <c r="O79" s="176">
        <f t="shared" si="173"/>
        <v>2.3679999999999999</v>
      </c>
      <c r="P79" s="221">
        <f t="shared" si="126"/>
        <v>0.51253101736972706</v>
      </c>
      <c r="Q79" s="221">
        <f t="shared" si="127"/>
        <v>16</v>
      </c>
      <c r="R79" s="221">
        <f t="shared" si="128"/>
        <v>0.56947890818858549</v>
      </c>
      <c r="S79" s="176">
        <f t="shared" si="129"/>
        <v>119.35058613595031</v>
      </c>
      <c r="T79" s="176">
        <f t="shared" si="130"/>
        <v>16</v>
      </c>
      <c r="U79" s="221">
        <f t="shared" si="131"/>
        <v>0.4331445170660857</v>
      </c>
      <c r="V79" s="221">
        <f t="shared" si="132"/>
        <v>0.40607298474945536</v>
      </c>
      <c r="W79" s="221">
        <f t="shared" si="133"/>
        <v>0.66351794893701854</v>
      </c>
      <c r="X79" s="201">
        <f t="shared" si="134"/>
        <v>350</v>
      </c>
      <c r="Y79" s="451">
        <f t="shared" si="174"/>
        <v>350</v>
      </c>
      <c r="AA79" s="221">
        <f t="shared" si="135"/>
        <v>1.1570365118752215</v>
      </c>
      <c r="AB79" s="177">
        <f t="shared" si="136"/>
        <v>1.7724211272598367</v>
      </c>
      <c r="AC79" s="177">
        <f t="shared" si="137"/>
        <v>0.4306587513183206</v>
      </c>
      <c r="AD79" s="177"/>
      <c r="AE79" s="177">
        <f t="shared" si="138"/>
        <v>0.4595588235294118</v>
      </c>
      <c r="AF79" s="555">
        <f t="shared" si="139"/>
        <v>1789.1555555555558</v>
      </c>
      <c r="AG79" s="538">
        <f t="shared" si="140"/>
        <v>2.8952205882352939E-2</v>
      </c>
      <c r="AI79" s="177">
        <f t="shared" si="141"/>
        <v>0.71497363698761751</v>
      </c>
      <c r="AJ79" s="177">
        <f t="shared" si="142"/>
        <v>0.71497363698761751</v>
      </c>
      <c r="AK79" s="177">
        <f t="shared" si="143"/>
        <v>1.4766490913250783</v>
      </c>
      <c r="AM79" s="555">
        <f t="shared" si="144"/>
        <v>148</v>
      </c>
      <c r="AN79" s="469">
        <f t="shared" si="145"/>
        <v>350</v>
      </c>
      <c r="AP79">
        <f t="shared" si="146"/>
        <v>148</v>
      </c>
      <c r="AQ79">
        <f t="shared" si="147"/>
        <v>350</v>
      </c>
      <c r="AS79" s="5">
        <f t="shared" si="175"/>
        <v>2.8571428571428572</v>
      </c>
      <c r="AT79" s="5">
        <f t="shared" si="148"/>
        <v>0.67028778467589145</v>
      </c>
      <c r="AU79" s="5">
        <f t="shared" si="176"/>
        <v>2.1868550724669658</v>
      </c>
      <c r="AV79" s="5">
        <f t="shared" si="149"/>
        <v>1.0952414782285806</v>
      </c>
      <c r="AW79" s="177">
        <f t="shared" si="177"/>
        <v>0.23460072463656201</v>
      </c>
      <c r="AX79" s="177">
        <f t="shared" si="150"/>
        <v>2.6837333333333326</v>
      </c>
      <c r="AY79" s="177">
        <f t="shared" si="151"/>
        <v>0.3283441821925705</v>
      </c>
      <c r="AZ79" s="177">
        <f t="shared" si="178"/>
        <v>8.173537034864685</v>
      </c>
      <c r="BA79" s="469">
        <f t="shared" si="152"/>
        <v>6.273549245269658</v>
      </c>
      <c r="BB79" s="469">
        <f t="shared" si="153"/>
        <v>1.1493453066666663</v>
      </c>
      <c r="BC79" s="5">
        <f t="shared" si="154"/>
        <v>0.11238005233510794</v>
      </c>
      <c r="BD79" s="469">
        <f t="shared" si="155"/>
        <v>18.227475040283935</v>
      </c>
      <c r="BE79" s="5"/>
      <c r="BF79" s="177">
        <f t="shared" si="179"/>
        <v>0.19993741635604351</v>
      </c>
      <c r="BG79" s="177">
        <f t="shared" si="156"/>
        <v>0.43336583541017359</v>
      </c>
      <c r="BH79" s="177"/>
      <c r="BI79" s="538">
        <f t="shared" si="157"/>
        <v>1.3991239660695461E-2</v>
      </c>
      <c r="BJ79" s="538">
        <f t="shared" si="158"/>
        <v>6.4542100158146196E-2</v>
      </c>
      <c r="BK79" s="538">
        <f t="shared" si="159"/>
        <v>4.3749999999999995E-3</v>
      </c>
      <c r="BL79" s="538">
        <f t="shared" si="160"/>
        <v>4.6565908480000008E-2</v>
      </c>
      <c r="BM79">
        <f t="shared" si="161"/>
        <v>9.2800000000000001E-3</v>
      </c>
      <c r="BN79">
        <f t="shared" si="162"/>
        <v>2.3625000000000002E-5</v>
      </c>
      <c r="BO79" s="538">
        <f t="shared" si="163"/>
        <v>0.14103074512214642</v>
      </c>
      <c r="BP79" s="469">
        <f t="shared" si="180"/>
        <v>141.03074512214641</v>
      </c>
      <c r="BQ79" s="538">
        <f t="shared" si="164"/>
        <v>0.12827787186888942</v>
      </c>
      <c r="BR79" s="538"/>
      <c r="BT79" s="469">
        <f t="shared" si="181"/>
        <v>128.27787186888943</v>
      </c>
      <c r="BU79" s="538">
        <f t="shared" si="165"/>
        <v>3.9974970459129896E-3</v>
      </c>
      <c r="BV79" s="538">
        <f t="shared" si="166"/>
        <v>5.6341784190227298E-3</v>
      </c>
      <c r="BW79" s="538">
        <f t="shared" si="167"/>
        <v>0</v>
      </c>
      <c r="BX79" s="538">
        <f t="shared" si="168"/>
        <v>1.079579504827128E-2</v>
      </c>
      <c r="BY79" s="538">
        <f t="shared" si="169"/>
        <v>8.9457777777777747E-3</v>
      </c>
      <c r="BZ79" s="469">
        <f t="shared" si="182"/>
        <v>19.741572826049055</v>
      </c>
      <c r="CA79" s="177">
        <f t="shared" si="183"/>
        <v>0.28905018981708486</v>
      </c>
      <c r="CB79" s="5">
        <f t="shared" si="184"/>
        <v>2.3679999999999999</v>
      </c>
      <c r="CC79" s="177">
        <f t="shared" si="185"/>
        <v>0.89121387660464801</v>
      </c>
      <c r="CD79" s="5">
        <f t="shared" si="186"/>
        <v>89.121387660464805</v>
      </c>
      <c r="CG79" s="571">
        <f t="shared" si="170"/>
        <v>-50</v>
      </c>
      <c r="CH79">
        <f t="shared" si="171"/>
        <v>-50</v>
      </c>
    </row>
    <row r="80" spans="5:86" x14ac:dyDescent="0.25">
      <c r="E80" s="174">
        <v>75</v>
      </c>
      <c r="F80" s="221">
        <f t="shared" si="172"/>
        <v>0.15000000000000002</v>
      </c>
      <c r="G80" s="221"/>
      <c r="H80" s="221">
        <f t="shared" si="120"/>
        <v>2.4000000000000004</v>
      </c>
      <c r="I80" s="551">
        <f t="shared" si="121"/>
        <v>32</v>
      </c>
      <c r="J80" s="176">
        <f t="shared" si="122"/>
        <v>19.584</v>
      </c>
      <c r="K80" s="451">
        <f t="shared" si="123"/>
        <v>51.584000000000003</v>
      </c>
      <c r="L80" s="451"/>
      <c r="M80" s="221">
        <f t="shared" si="124"/>
        <v>0.37965260545905705</v>
      </c>
      <c r="N80" s="176">
        <f t="shared" si="125"/>
        <v>8.200496277915633</v>
      </c>
      <c r="O80" s="176">
        <f t="shared" si="173"/>
        <v>2.4000000000000004</v>
      </c>
      <c r="P80" s="221">
        <f t="shared" si="126"/>
        <v>0.51253101736972706</v>
      </c>
      <c r="Q80" s="221">
        <f t="shared" si="127"/>
        <v>16</v>
      </c>
      <c r="R80" s="221">
        <f t="shared" si="128"/>
        <v>0.56947890818858549</v>
      </c>
      <c r="S80" s="176">
        <f t="shared" si="129"/>
        <v>117.40581814140729</v>
      </c>
      <c r="T80" s="176">
        <f t="shared" si="130"/>
        <v>16</v>
      </c>
      <c r="U80" s="221">
        <f t="shared" si="131"/>
        <v>0.43899782135076265</v>
      </c>
      <c r="V80" s="221">
        <f t="shared" si="132"/>
        <v>0.41156045751633996</v>
      </c>
      <c r="W80" s="221">
        <f t="shared" si="133"/>
        <v>0.67248440770643791</v>
      </c>
      <c r="X80" s="201">
        <f t="shared" si="134"/>
        <v>350</v>
      </c>
      <c r="Y80" s="451">
        <f t="shared" si="174"/>
        <v>350</v>
      </c>
      <c r="AA80" s="221">
        <f t="shared" si="135"/>
        <v>1.1570365118752215</v>
      </c>
      <c r="AB80" s="177">
        <f t="shared" si="136"/>
        <v>1.7724211272598367</v>
      </c>
      <c r="AC80" s="177">
        <f t="shared" si="137"/>
        <v>0.4306587513183206</v>
      </c>
      <c r="AD80" s="177"/>
      <c r="AE80" s="177">
        <f t="shared" si="138"/>
        <v>0.4595588235294118</v>
      </c>
      <c r="AF80" s="555">
        <f t="shared" si="139"/>
        <v>1813.3333333333337</v>
      </c>
      <c r="AG80" s="538">
        <f t="shared" si="140"/>
        <v>2.8952205882352939E-2</v>
      </c>
      <c r="AI80" s="177">
        <f t="shared" si="141"/>
        <v>0.71978832867394993</v>
      </c>
      <c r="AJ80" s="177">
        <f t="shared" si="142"/>
        <v>0.71978832867394993</v>
      </c>
      <c r="AK80" s="177">
        <f t="shared" si="143"/>
        <v>1.4798588857826334</v>
      </c>
      <c r="AM80" s="555">
        <f t="shared" si="144"/>
        <v>150.00000000000003</v>
      </c>
      <c r="AN80" s="469">
        <f t="shared" si="145"/>
        <v>350</v>
      </c>
      <c r="AP80">
        <f t="shared" si="146"/>
        <v>150.00000000000003</v>
      </c>
      <c r="AQ80">
        <f t="shared" si="147"/>
        <v>350</v>
      </c>
      <c r="AS80" s="5">
        <f t="shared" si="175"/>
        <v>2.8571428571428572</v>
      </c>
      <c r="AT80" s="5">
        <f t="shared" si="148"/>
        <v>0.67480155813182807</v>
      </c>
      <c r="AU80" s="5">
        <f t="shared" si="176"/>
        <v>2.1823412990110294</v>
      </c>
      <c r="AV80" s="5">
        <f t="shared" si="149"/>
        <v>1.1026169250520066</v>
      </c>
      <c r="AW80" s="177">
        <f t="shared" si="177"/>
        <v>0.23618054534613983</v>
      </c>
      <c r="AX80" s="177">
        <f t="shared" si="150"/>
        <v>2.7200000000000006</v>
      </c>
      <c r="AY80" s="177">
        <f t="shared" si="151"/>
        <v>0.32987299720436991</v>
      </c>
      <c r="AZ80" s="177">
        <f t="shared" si="178"/>
        <v>8.24559761802767</v>
      </c>
      <c r="BA80" s="469">
        <f t="shared" si="152"/>
        <v>6.273549245269658</v>
      </c>
      <c r="BB80" s="469">
        <f t="shared" si="153"/>
        <v>1.1745375</v>
      </c>
      <c r="BC80" s="5">
        <f t="shared" si="154"/>
        <v>0.11366360932349111</v>
      </c>
      <c r="BD80" s="469">
        <f t="shared" si="155"/>
        <v>18.436177491758581</v>
      </c>
      <c r="BE80" s="5"/>
      <c r="BF80" s="177">
        <f t="shared" si="179"/>
        <v>0.20196040525688158</v>
      </c>
      <c r="BG80" s="177">
        <f t="shared" si="156"/>
        <v>0.43583366857772698</v>
      </c>
      <c r="BH80" s="177"/>
      <c r="BI80" s="538">
        <f t="shared" si="157"/>
        <v>1.4275801852033344E-2</v>
      </c>
      <c r="BJ80" s="538">
        <f t="shared" si="158"/>
        <v>6.4976732006054819E-2</v>
      </c>
      <c r="BK80" s="538">
        <f t="shared" si="159"/>
        <v>4.3749999999999995E-3</v>
      </c>
      <c r="BL80" s="538">
        <f t="shared" si="160"/>
        <v>4.6565908480000008E-2</v>
      </c>
      <c r="BM80">
        <f t="shared" si="161"/>
        <v>9.2800000000000001E-3</v>
      </c>
      <c r="BN80">
        <f t="shared" si="162"/>
        <v>2.3625000000000002E-5</v>
      </c>
      <c r="BO80" s="538">
        <f t="shared" si="163"/>
        <v>0.14179777969571863</v>
      </c>
      <c r="BP80" s="469">
        <f t="shared" si="180"/>
        <v>141.79777969571865</v>
      </c>
      <c r="BQ80" s="538">
        <f t="shared" si="164"/>
        <v>0.12986127690638147</v>
      </c>
      <c r="BR80" s="538"/>
      <c r="BT80" s="469">
        <f t="shared" si="181"/>
        <v>129.86127690638148</v>
      </c>
      <c r="BU80" s="538">
        <f t="shared" si="165"/>
        <v>4.0788005291523847E-3</v>
      </c>
      <c r="BV80" s="538">
        <f t="shared" si="166"/>
        <v>5.6985295999775988E-3</v>
      </c>
      <c r="BW80" s="538">
        <f t="shared" si="167"/>
        <v>0</v>
      </c>
      <c r="BX80" s="538">
        <f t="shared" si="168"/>
        <v>1.0959181867750875E-2</v>
      </c>
      <c r="BY80" s="538">
        <f t="shared" si="169"/>
        <v>9.0666666666666691E-3</v>
      </c>
      <c r="BZ80" s="469">
        <f t="shared" si="182"/>
        <v>20.025848534417545</v>
      </c>
      <c r="CA80" s="177">
        <f t="shared" si="183"/>
        <v>0.29168490513651762</v>
      </c>
      <c r="CB80" s="5">
        <f t="shared" si="184"/>
        <v>2.4000000000000004</v>
      </c>
      <c r="CC80" s="177">
        <f t="shared" si="185"/>
        <v>0.8916348252427696</v>
      </c>
      <c r="CD80" s="5">
        <f t="shared" si="186"/>
        <v>89.163482524276958</v>
      </c>
      <c r="CG80" s="571">
        <f t="shared" si="170"/>
        <v>-50</v>
      </c>
      <c r="CH80">
        <f t="shared" si="171"/>
        <v>-50</v>
      </c>
    </row>
    <row r="81" spans="5:86" x14ac:dyDescent="0.25">
      <c r="E81" s="174">
        <v>76</v>
      </c>
      <c r="F81" s="221">
        <f t="shared" si="172"/>
        <v>0.15200000000000002</v>
      </c>
      <c r="G81" s="221"/>
      <c r="H81" s="221">
        <f t="shared" si="120"/>
        <v>2.4320000000000004</v>
      </c>
      <c r="I81" s="551">
        <f t="shared" si="121"/>
        <v>32</v>
      </c>
      <c r="J81" s="176">
        <f t="shared" si="122"/>
        <v>19.584</v>
      </c>
      <c r="K81" s="451">
        <f t="shared" si="123"/>
        <v>51.584000000000003</v>
      </c>
      <c r="L81" s="451"/>
      <c r="M81" s="221">
        <f t="shared" si="124"/>
        <v>0.37965260545905705</v>
      </c>
      <c r="N81" s="176">
        <f t="shared" si="125"/>
        <v>8.200496277915633</v>
      </c>
      <c r="O81" s="176">
        <f t="shared" si="173"/>
        <v>2.4320000000000004</v>
      </c>
      <c r="P81" s="221">
        <f t="shared" si="126"/>
        <v>0.51253101736972706</v>
      </c>
      <c r="Q81" s="221">
        <f t="shared" si="127"/>
        <v>16</v>
      </c>
      <c r="R81" s="221">
        <f t="shared" si="128"/>
        <v>0.56947890818858549</v>
      </c>
      <c r="S81" s="176">
        <f t="shared" si="129"/>
        <v>115.51226623464865</v>
      </c>
      <c r="T81" s="176">
        <f t="shared" si="130"/>
        <v>16</v>
      </c>
      <c r="U81" s="221">
        <f t="shared" si="131"/>
        <v>0.44485112563543949</v>
      </c>
      <c r="V81" s="221">
        <f t="shared" si="132"/>
        <v>0.41704793028322451</v>
      </c>
      <c r="W81" s="221">
        <f t="shared" si="133"/>
        <v>0.68145086647585706</v>
      </c>
      <c r="X81" s="201">
        <f t="shared" si="134"/>
        <v>350</v>
      </c>
      <c r="Y81" s="451">
        <f t="shared" si="174"/>
        <v>350</v>
      </c>
      <c r="AA81" s="221">
        <f t="shared" si="135"/>
        <v>1.1570365118752215</v>
      </c>
      <c r="AB81" s="177">
        <f t="shared" si="136"/>
        <v>1.7724211272598367</v>
      </c>
      <c r="AC81" s="177">
        <f t="shared" si="137"/>
        <v>0.4306587513183206</v>
      </c>
      <c r="AD81" s="177"/>
      <c r="AE81" s="177">
        <f t="shared" si="138"/>
        <v>0.4595588235294118</v>
      </c>
      <c r="AF81" s="555">
        <f t="shared" si="139"/>
        <v>1837.5111111111114</v>
      </c>
      <c r="AG81" s="538">
        <f t="shared" si="140"/>
        <v>2.8952205882352939E-2</v>
      </c>
      <c r="AI81" s="177">
        <f t="shared" si="141"/>
        <v>0.72457102799047568</v>
      </c>
      <c r="AJ81" s="177">
        <f t="shared" si="142"/>
        <v>0.72457102799047568</v>
      </c>
      <c r="AK81" s="177">
        <f t="shared" si="143"/>
        <v>1.4830473519936505</v>
      </c>
      <c r="AM81" s="555">
        <f t="shared" si="144"/>
        <v>152.00000000000003</v>
      </c>
      <c r="AN81" s="469">
        <f t="shared" si="145"/>
        <v>350</v>
      </c>
      <c r="AP81">
        <f t="shared" si="146"/>
        <v>152.00000000000003</v>
      </c>
      <c r="AQ81">
        <f t="shared" si="147"/>
        <v>350</v>
      </c>
      <c r="AS81" s="5">
        <f t="shared" si="175"/>
        <v>2.8571428571428572</v>
      </c>
      <c r="AT81" s="5">
        <f t="shared" si="148"/>
        <v>0.679285338741071</v>
      </c>
      <c r="AU81" s="5">
        <f t="shared" si="176"/>
        <v>2.1778575184017863</v>
      </c>
      <c r="AV81" s="5">
        <f t="shared" si="149"/>
        <v>1.1099433639559986</v>
      </c>
      <c r="AW81" s="177">
        <f t="shared" si="177"/>
        <v>0.23774986855937486</v>
      </c>
      <c r="AX81" s="177">
        <f t="shared" si="150"/>
        <v>2.7562666666666673</v>
      </c>
      <c r="AY81" s="177">
        <f t="shared" si="151"/>
        <v>0.33138261679428538</v>
      </c>
      <c r="AZ81" s="177">
        <f t="shared" si="178"/>
        <v>8.3174751087734133</v>
      </c>
      <c r="BA81" s="469">
        <f t="shared" si="152"/>
        <v>6.273549245269658</v>
      </c>
      <c r="BB81" s="469">
        <f t="shared" si="153"/>
        <v>1.1999873066666669</v>
      </c>
      <c r="BC81" s="5">
        <f t="shared" si="154"/>
        <v>0.11494248013787207</v>
      </c>
      <c r="BD81" s="469">
        <f t="shared" si="155"/>
        <v>18.644130155392865</v>
      </c>
      <c r="BE81" s="5"/>
      <c r="BF81" s="177">
        <f t="shared" si="179"/>
        <v>0.20397666186368749</v>
      </c>
      <c r="BG81" s="177">
        <f t="shared" si="156"/>
        <v>0.43827867236160073</v>
      </c>
      <c r="BH81" s="177"/>
      <c r="BI81" s="538">
        <f t="shared" si="157"/>
        <v>1.4562267504768583E-2</v>
      </c>
      <c r="BJ81" s="538">
        <f t="shared" si="158"/>
        <v>6.5408475838756225E-2</v>
      </c>
      <c r="BK81" s="538">
        <f t="shared" si="159"/>
        <v>4.3749999999999995E-3</v>
      </c>
      <c r="BL81" s="538">
        <f t="shared" si="160"/>
        <v>4.6565908480000008E-2</v>
      </c>
      <c r="BM81">
        <f t="shared" si="161"/>
        <v>9.2800000000000001E-3</v>
      </c>
      <c r="BN81">
        <f t="shared" si="162"/>
        <v>2.3625000000000002E-5</v>
      </c>
      <c r="BO81" s="538">
        <f t="shared" si="163"/>
        <v>0.14256421568294167</v>
      </c>
      <c r="BP81" s="469">
        <f t="shared" si="180"/>
        <v>142.56421568294166</v>
      </c>
      <c r="BQ81" s="538">
        <f t="shared" si="164"/>
        <v>0.13144169035517211</v>
      </c>
      <c r="BR81" s="538"/>
      <c r="BT81" s="469">
        <f t="shared" si="181"/>
        <v>131.44169035517211</v>
      </c>
      <c r="BU81" s="538">
        <f t="shared" si="165"/>
        <v>4.1606478585053102E-3</v>
      </c>
      <c r="BV81" s="538">
        <f t="shared" si="166"/>
        <v>5.76264583941142E-3</v>
      </c>
      <c r="BW81" s="538">
        <f t="shared" si="167"/>
        <v>0</v>
      </c>
      <c r="BX81" s="538">
        <f t="shared" si="168"/>
        <v>1.1122919021044658E-2</v>
      </c>
      <c r="BY81" s="538">
        <f t="shared" si="169"/>
        <v>9.1875555555555582E-3</v>
      </c>
      <c r="BZ81" s="469">
        <f t="shared" si="182"/>
        <v>20.310474576600214</v>
      </c>
      <c r="CA81" s="177">
        <f t="shared" si="183"/>
        <v>0.29431638061471405</v>
      </c>
      <c r="CB81" s="5">
        <f t="shared" si="184"/>
        <v>2.4320000000000004</v>
      </c>
      <c r="CC81" s="177">
        <f t="shared" si="185"/>
        <v>0.8920461386259384</v>
      </c>
      <c r="CD81" s="5">
        <f t="shared" si="186"/>
        <v>89.204613862593845</v>
      </c>
      <c r="CG81" s="571">
        <f t="shared" si="170"/>
        <v>-50</v>
      </c>
      <c r="CH81">
        <f t="shared" si="171"/>
        <v>-50</v>
      </c>
    </row>
    <row r="82" spans="5:86" x14ac:dyDescent="0.25">
      <c r="E82" s="174">
        <v>77</v>
      </c>
      <c r="F82" s="221">
        <f t="shared" si="172"/>
        <v>0.15400000000000003</v>
      </c>
      <c r="G82" s="221"/>
      <c r="H82" s="221">
        <f t="shared" si="120"/>
        <v>2.4640000000000004</v>
      </c>
      <c r="I82" s="551">
        <f t="shared" si="121"/>
        <v>32</v>
      </c>
      <c r="J82" s="176">
        <f t="shared" si="122"/>
        <v>19.584</v>
      </c>
      <c r="K82" s="451">
        <f t="shared" si="123"/>
        <v>51.584000000000003</v>
      </c>
      <c r="L82" s="451"/>
      <c r="M82" s="221">
        <f t="shared" si="124"/>
        <v>0.37965260545905705</v>
      </c>
      <c r="N82" s="176">
        <f t="shared" si="125"/>
        <v>8.200496277915633</v>
      </c>
      <c r="O82" s="176">
        <f t="shared" si="173"/>
        <v>2.4640000000000004</v>
      </c>
      <c r="P82" s="221">
        <f t="shared" si="126"/>
        <v>0.51253101736972706</v>
      </c>
      <c r="Q82" s="221">
        <f t="shared" si="127"/>
        <v>16</v>
      </c>
      <c r="R82" s="221">
        <f t="shared" si="128"/>
        <v>0.56947890818858549</v>
      </c>
      <c r="S82" s="176">
        <f t="shared" si="129"/>
        <v>113.66793531690085</v>
      </c>
      <c r="T82" s="176">
        <f t="shared" si="130"/>
        <v>16</v>
      </c>
      <c r="U82" s="221">
        <f t="shared" si="131"/>
        <v>0.45070442992011633</v>
      </c>
      <c r="V82" s="221">
        <f t="shared" si="132"/>
        <v>0.42253540305010906</v>
      </c>
      <c r="W82" s="221">
        <f t="shared" si="133"/>
        <v>0.69041732524527621</v>
      </c>
      <c r="X82" s="201">
        <f t="shared" si="134"/>
        <v>350</v>
      </c>
      <c r="Y82" s="451">
        <f t="shared" si="174"/>
        <v>350</v>
      </c>
      <c r="AA82" s="221">
        <f t="shared" si="135"/>
        <v>1.1570365118752215</v>
      </c>
      <c r="AB82" s="177">
        <f t="shared" si="136"/>
        <v>1.7724211272598367</v>
      </c>
      <c r="AC82" s="177">
        <f t="shared" si="137"/>
        <v>0.4306587513183206</v>
      </c>
      <c r="AD82" s="177"/>
      <c r="AE82" s="177">
        <f t="shared" si="138"/>
        <v>0.4595588235294118</v>
      </c>
      <c r="AF82" s="555">
        <f t="shared" si="139"/>
        <v>1861.6888888888896</v>
      </c>
      <c r="AG82" s="538">
        <f t="shared" si="140"/>
        <v>2.8952205882352939E-2</v>
      </c>
      <c r="AI82" s="177">
        <f t="shared" si="141"/>
        <v>0.72932236432945829</v>
      </c>
      <c r="AJ82" s="177">
        <f t="shared" si="142"/>
        <v>0.72932236432945829</v>
      </c>
      <c r="AK82" s="177">
        <f t="shared" si="143"/>
        <v>1.4862149095529722</v>
      </c>
      <c r="AM82" s="555">
        <f t="shared" si="144"/>
        <v>154.00000000000003</v>
      </c>
      <c r="AN82" s="469">
        <f t="shared" si="145"/>
        <v>350</v>
      </c>
      <c r="AP82">
        <f t="shared" si="146"/>
        <v>154.00000000000003</v>
      </c>
      <c r="AQ82">
        <f t="shared" si="147"/>
        <v>350</v>
      </c>
      <c r="AS82" s="5">
        <f t="shared" si="175"/>
        <v>2.8571428571428572</v>
      </c>
      <c r="AT82" s="5">
        <f t="shared" si="148"/>
        <v>0.68373971655886712</v>
      </c>
      <c r="AU82" s="5">
        <f t="shared" si="176"/>
        <v>2.1734031405839902</v>
      </c>
      <c r="AV82" s="5">
        <f t="shared" si="149"/>
        <v>1.1172217590831164</v>
      </c>
      <c r="AW82" s="177">
        <f t="shared" si="177"/>
        <v>0.23930890079560349</v>
      </c>
      <c r="AX82" s="177">
        <f t="shared" si="150"/>
        <v>2.7925333333333335</v>
      </c>
      <c r="AY82" s="177">
        <f t="shared" si="151"/>
        <v>0.332873418597675</v>
      </c>
      <c r="AZ82" s="177">
        <f t="shared" si="178"/>
        <v>8.3891749154909494</v>
      </c>
      <c r="BA82" s="469">
        <f t="shared" si="152"/>
        <v>6.273549245269658</v>
      </c>
      <c r="BB82" s="469">
        <f t="shared" si="153"/>
        <v>1.2256947266666669</v>
      </c>
      <c r="BC82" s="5">
        <f t="shared" si="154"/>
        <v>0.11621669571178282</v>
      </c>
      <c r="BD82" s="469">
        <f t="shared" si="155"/>
        <v>18.851337980551918</v>
      </c>
      <c r="BE82" s="5"/>
      <c r="BF82" s="177">
        <f t="shared" si="179"/>
        <v>0.20598629672947347</v>
      </c>
      <c r="BG82" s="177">
        <f t="shared" si="156"/>
        <v>0.44070128538418013</v>
      </c>
      <c r="BH82" s="177"/>
      <c r="BI82" s="538">
        <f t="shared" si="157"/>
        <v>1.4850624054112941E-2</v>
      </c>
      <c r="BJ82" s="538">
        <f t="shared" si="158"/>
        <v>6.5837388472748865E-2</v>
      </c>
      <c r="BK82" s="538">
        <f t="shared" si="159"/>
        <v>4.3749999999999995E-3</v>
      </c>
      <c r="BL82" s="538">
        <f t="shared" si="160"/>
        <v>4.6565908480000008E-2</v>
      </c>
      <c r="BM82">
        <f t="shared" si="161"/>
        <v>9.2800000000000001E-3</v>
      </c>
      <c r="BN82">
        <f t="shared" si="162"/>
        <v>2.3625000000000002E-5</v>
      </c>
      <c r="BO82" s="538">
        <f t="shared" si="163"/>
        <v>0.14333009613755546</v>
      </c>
      <c r="BP82" s="469">
        <f t="shared" si="180"/>
        <v>143.33009613755544</v>
      </c>
      <c r="BQ82" s="538">
        <f t="shared" si="164"/>
        <v>0.1330191319628006</v>
      </c>
      <c r="BR82" s="538"/>
      <c r="BT82" s="469">
        <f t="shared" si="181"/>
        <v>133.0191319628006</v>
      </c>
      <c r="BU82" s="538">
        <f t="shared" si="165"/>
        <v>4.2430354440322693E-3</v>
      </c>
      <c r="BV82" s="538">
        <f t="shared" si="166"/>
        <v>5.8265286881780572E-3</v>
      </c>
      <c r="BW82" s="538">
        <f t="shared" si="167"/>
        <v>0</v>
      </c>
      <c r="BX82" s="538">
        <f t="shared" si="168"/>
        <v>1.1287004245124112E-2</v>
      </c>
      <c r="BY82" s="538">
        <f t="shared" si="169"/>
        <v>9.3084444444444456E-3</v>
      </c>
      <c r="BZ82" s="469">
        <f t="shared" si="182"/>
        <v>20.595448689568556</v>
      </c>
      <c r="CA82" s="177">
        <f t="shared" si="183"/>
        <v>0.29694467678992464</v>
      </c>
      <c r="CB82" s="5">
        <f t="shared" si="184"/>
        <v>2.4640000000000004</v>
      </c>
      <c r="CC82" s="177">
        <f t="shared" si="185"/>
        <v>0.89244816120865778</v>
      </c>
      <c r="CD82" s="5">
        <f t="shared" si="186"/>
        <v>89.244816120865778</v>
      </c>
      <c r="CG82" s="571">
        <f t="shared" si="170"/>
        <v>-50</v>
      </c>
      <c r="CH82">
        <f t="shared" si="171"/>
        <v>-50</v>
      </c>
    </row>
    <row r="83" spans="5:86" x14ac:dyDescent="0.25">
      <c r="E83" s="174">
        <v>78</v>
      </c>
      <c r="F83" s="221">
        <f t="shared" si="172"/>
        <v>0.15600000000000003</v>
      </c>
      <c r="G83" s="221"/>
      <c r="H83" s="221">
        <f t="shared" si="120"/>
        <v>2.4960000000000004</v>
      </c>
      <c r="I83" s="551">
        <f t="shared" si="121"/>
        <v>32</v>
      </c>
      <c r="J83" s="176">
        <f t="shared" si="122"/>
        <v>19.584</v>
      </c>
      <c r="K83" s="451">
        <f t="shared" si="123"/>
        <v>51.584000000000003</v>
      </c>
      <c r="L83" s="451"/>
      <c r="M83" s="221">
        <f t="shared" si="124"/>
        <v>0.37965260545905705</v>
      </c>
      <c r="N83" s="176">
        <f t="shared" si="125"/>
        <v>8.200496277915633</v>
      </c>
      <c r="O83" s="176">
        <f t="shared" si="173"/>
        <v>2.4960000000000004</v>
      </c>
      <c r="P83" s="221">
        <f t="shared" si="126"/>
        <v>0.51253101736972706</v>
      </c>
      <c r="Q83" s="221">
        <f t="shared" si="127"/>
        <v>16</v>
      </c>
      <c r="R83" s="221">
        <f t="shared" si="128"/>
        <v>0.56947890818858549</v>
      </c>
      <c r="S83" s="176">
        <f t="shared" si="129"/>
        <v>111.87093260598296</v>
      </c>
      <c r="T83" s="176">
        <f t="shared" si="130"/>
        <v>16</v>
      </c>
      <c r="U83" s="221">
        <f t="shared" si="131"/>
        <v>0.45655773420479312</v>
      </c>
      <c r="V83" s="221">
        <f t="shared" si="132"/>
        <v>0.42802287581699355</v>
      </c>
      <c r="W83" s="221">
        <f t="shared" si="133"/>
        <v>0.69938378401469536</v>
      </c>
      <c r="X83" s="201">
        <f t="shared" si="134"/>
        <v>350</v>
      </c>
      <c r="Y83" s="451">
        <f t="shared" si="174"/>
        <v>350</v>
      </c>
      <c r="AA83" s="221">
        <f t="shared" si="135"/>
        <v>1.1570365118752215</v>
      </c>
      <c r="AB83" s="177">
        <f t="shared" si="136"/>
        <v>1.7724211272598367</v>
      </c>
      <c r="AC83" s="177">
        <f t="shared" si="137"/>
        <v>0.4306587513183206</v>
      </c>
      <c r="AD83" s="177"/>
      <c r="AE83" s="177">
        <f t="shared" si="138"/>
        <v>0.4595588235294118</v>
      </c>
      <c r="AF83" s="555">
        <f t="shared" si="139"/>
        <v>1885.8666666666672</v>
      </c>
      <c r="AG83" s="538">
        <f t="shared" si="140"/>
        <v>2.8952205882352939E-2</v>
      </c>
      <c r="AI83" s="177">
        <f t="shared" si="141"/>
        <v>0.73404294671296155</v>
      </c>
      <c r="AJ83" s="177">
        <f t="shared" si="142"/>
        <v>0.73404294671296155</v>
      </c>
      <c r="AK83" s="177">
        <f t="shared" si="143"/>
        <v>1.4893619644753078</v>
      </c>
      <c r="AM83" s="555">
        <f t="shared" si="144"/>
        <v>156.00000000000003</v>
      </c>
      <c r="AN83" s="469">
        <f t="shared" si="145"/>
        <v>350</v>
      </c>
      <c r="AP83">
        <f t="shared" si="146"/>
        <v>156.00000000000003</v>
      </c>
      <c r="AQ83">
        <f t="shared" si="147"/>
        <v>350</v>
      </c>
      <c r="AS83" s="5">
        <f t="shared" si="175"/>
        <v>2.8571428571428572</v>
      </c>
      <c r="AT83" s="5">
        <f t="shared" si="148"/>
        <v>0.68816526254340149</v>
      </c>
      <c r="AU83" s="5">
        <f t="shared" si="176"/>
        <v>2.1689775945994558</v>
      </c>
      <c r="AV83" s="5">
        <f t="shared" si="149"/>
        <v>1.1244530433715711</v>
      </c>
      <c r="AW83" s="177">
        <f t="shared" si="177"/>
        <v>0.24085784189019052</v>
      </c>
      <c r="AX83" s="177">
        <f t="shared" si="150"/>
        <v>2.8288000000000006</v>
      </c>
      <c r="AY83" s="177">
        <f t="shared" si="151"/>
        <v>0.33434576802777688</v>
      </c>
      <c r="AZ83" s="177">
        <f t="shared" si="178"/>
        <v>8.4607022744340181</v>
      </c>
      <c r="BA83" s="469">
        <f t="shared" si="152"/>
        <v>6.273549245269658</v>
      </c>
      <c r="BB83" s="469">
        <f t="shared" si="153"/>
        <v>1.2516597600000001</v>
      </c>
      <c r="BC83" s="5">
        <f t="shared" si="154"/>
        <v>0.1174862863741372</v>
      </c>
      <c r="BD83" s="469">
        <f t="shared" si="155"/>
        <v>19.057805819861954</v>
      </c>
      <c r="BE83" s="5"/>
      <c r="BF83" s="177">
        <f t="shared" si="179"/>
        <v>0.20798941718178168</v>
      </c>
      <c r="BG83" s="177">
        <f t="shared" si="156"/>
        <v>0.443101932096097</v>
      </c>
      <c r="BH83" s="177"/>
      <c r="BI83" s="538">
        <f t="shared" si="157"/>
        <v>1.5140859180866025E-2</v>
      </c>
      <c r="BJ83" s="538">
        <f t="shared" si="158"/>
        <v>6.626352488567247E-2</v>
      </c>
      <c r="BK83" s="538">
        <f t="shared" si="159"/>
        <v>4.3749999999999995E-3</v>
      </c>
      <c r="BL83" s="538">
        <f t="shared" si="160"/>
        <v>4.6565908480000008E-2</v>
      </c>
      <c r="BM83">
        <f t="shared" si="161"/>
        <v>9.2800000000000001E-3</v>
      </c>
      <c r="BN83">
        <f t="shared" si="162"/>
        <v>2.3625000000000002E-5</v>
      </c>
      <c r="BO83" s="538">
        <f t="shared" si="163"/>
        <v>0.14409546255622749</v>
      </c>
      <c r="BP83" s="469">
        <f t="shared" si="180"/>
        <v>144.09546255622749</v>
      </c>
      <c r="BQ83" s="538">
        <f t="shared" si="164"/>
        <v>0.1345936210908264</v>
      </c>
      <c r="BR83" s="538"/>
      <c r="BT83" s="469">
        <f t="shared" si="181"/>
        <v>134.59362109082639</v>
      </c>
      <c r="BU83" s="538">
        <f t="shared" si="165"/>
        <v>4.3259597659617219E-3</v>
      </c>
      <c r="BV83" s="538">
        <f t="shared" si="166"/>
        <v>5.8901796668188247E-3</v>
      </c>
      <c r="BW83" s="538">
        <f t="shared" si="167"/>
        <v>0</v>
      </c>
      <c r="BX83" s="538">
        <f t="shared" si="168"/>
        <v>1.1451435321510215E-2</v>
      </c>
      <c r="BY83" s="538">
        <f t="shared" si="169"/>
        <v>9.4293333333333364E-3</v>
      </c>
      <c r="BZ83" s="469">
        <f t="shared" si="182"/>
        <v>20.880768654843553</v>
      </c>
      <c r="CA83" s="177">
        <f t="shared" si="183"/>
        <v>0.29956985230189748</v>
      </c>
      <c r="CB83" s="5">
        <f t="shared" si="184"/>
        <v>2.4960000000000004</v>
      </c>
      <c r="CC83" s="177">
        <f t="shared" si="185"/>
        <v>0.89284122088552753</v>
      </c>
      <c r="CD83" s="5">
        <f t="shared" si="186"/>
        <v>89.284122088552749</v>
      </c>
      <c r="CG83" s="571">
        <f t="shared" si="170"/>
        <v>-50</v>
      </c>
      <c r="CH83">
        <f t="shared" si="171"/>
        <v>-50</v>
      </c>
    </row>
    <row r="84" spans="5:86" x14ac:dyDescent="0.25">
      <c r="E84" s="174">
        <v>79</v>
      </c>
      <c r="F84" s="221">
        <f t="shared" si="172"/>
        <v>0.15800000000000003</v>
      </c>
      <c r="G84" s="221"/>
      <c r="H84" s="221">
        <f t="shared" si="120"/>
        <v>2.5280000000000005</v>
      </c>
      <c r="I84" s="551">
        <f t="shared" si="121"/>
        <v>32</v>
      </c>
      <c r="J84" s="176">
        <f t="shared" si="122"/>
        <v>19.584</v>
      </c>
      <c r="K84" s="451">
        <f t="shared" si="123"/>
        <v>51.584000000000003</v>
      </c>
      <c r="L84" s="451"/>
      <c r="M84" s="221">
        <f t="shared" si="124"/>
        <v>0.37965260545905705</v>
      </c>
      <c r="N84" s="176">
        <f t="shared" si="125"/>
        <v>8.200496277915633</v>
      </c>
      <c r="O84" s="176">
        <f t="shared" si="173"/>
        <v>2.5280000000000005</v>
      </c>
      <c r="P84" s="221">
        <f t="shared" si="126"/>
        <v>0.51253101736972706</v>
      </c>
      <c r="Q84" s="221">
        <f t="shared" si="127"/>
        <v>16</v>
      </c>
      <c r="R84" s="221">
        <f t="shared" si="128"/>
        <v>0.56947890818858549</v>
      </c>
      <c r="S84" s="176">
        <f t="shared" si="129"/>
        <v>110.11946116062734</v>
      </c>
      <c r="T84" s="176">
        <f t="shared" si="130"/>
        <v>16</v>
      </c>
      <c r="U84" s="221">
        <f t="shared" si="131"/>
        <v>0.46241103848946996</v>
      </c>
      <c r="V84" s="221">
        <f t="shared" si="132"/>
        <v>0.4335103485838781</v>
      </c>
      <c r="W84" s="221">
        <f t="shared" si="133"/>
        <v>0.70835024278411451</v>
      </c>
      <c r="X84" s="201">
        <f t="shared" si="134"/>
        <v>350</v>
      </c>
      <c r="Y84" s="451">
        <f t="shared" si="174"/>
        <v>350</v>
      </c>
      <c r="AA84" s="221">
        <f t="shared" si="135"/>
        <v>1.1570365118752215</v>
      </c>
      <c r="AB84" s="177">
        <f t="shared" si="136"/>
        <v>1.7724211272598367</v>
      </c>
      <c r="AC84" s="177">
        <f t="shared" si="137"/>
        <v>0.4306587513183206</v>
      </c>
      <c r="AD84" s="177"/>
      <c r="AE84" s="177">
        <f t="shared" si="138"/>
        <v>0.4595588235294118</v>
      </c>
      <c r="AF84" s="555">
        <f t="shared" si="139"/>
        <v>1910.0444444444449</v>
      </c>
      <c r="AG84" s="538">
        <f t="shared" si="140"/>
        <v>2.8952205882352939E-2</v>
      </c>
      <c r="AI84" s="177">
        <f t="shared" si="141"/>
        <v>0.7387333647040617</v>
      </c>
      <c r="AJ84" s="177">
        <f t="shared" si="142"/>
        <v>0.7387333647040617</v>
      </c>
      <c r="AK84" s="177">
        <f t="shared" si="143"/>
        <v>1.4924889098027079</v>
      </c>
      <c r="AM84" s="555">
        <f t="shared" si="144"/>
        <v>158.00000000000003</v>
      </c>
      <c r="AN84" s="469">
        <f t="shared" si="145"/>
        <v>350</v>
      </c>
      <c r="AP84">
        <f t="shared" si="146"/>
        <v>158.00000000000003</v>
      </c>
      <c r="AQ84">
        <f t="shared" si="147"/>
        <v>350</v>
      </c>
      <c r="AS84" s="5">
        <f t="shared" si="175"/>
        <v>2.8571428571428572</v>
      </c>
      <c r="AT84" s="5">
        <f t="shared" si="148"/>
        <v>0.6925625294100578</v>
      </c>
      <c r="AU84" s="5">
        <f t="shared" si="176"/>
        <v>2.1645803277327995</v>
      </c>
      <c r="AV84" s="5">
        <f t="shared" si="149"/>
        <v>1.1316381199510748</v>
      </c>
      <c r="AW84" s="177">
        <f t="shared" si="177"/>
        <v>0.24239688529352021</v>
      </c>
      <c r="AX84" s="177">
        <f t="shared" si="150"/>
        <v>2.8650666666666673</v>
      </c>
      <c r="AY84" s="177">
        <f t="shared" si="151"/>
        <v>0.33580001882243704</v>
      </c>
      <c r="AZ84" s="177">
        <f t="shared" si="178"/>
        <v>8.5320622575118001</v>
      </c>
      <c r="BA84" s="469">
        <f t="shared" si="152"/>
        <v>6.273549245269658</v>
      </c>
      <c r="BB84" s="469">
        <f t="shared" si="153"/>
        <v>1.277882406666667</v>
      </c>
      <c r="BC84" s="5">
        <f t="shared" si="154"/>
        <v>0.11875128186867444</v>
      </c>
      <c r="BD84" s="469">
        <f t="shared" si="155"/>
        <v>19.263538432321244</v>
      </c>
      <c r="BE84" s="5"/>
      <c r="BF84" s="177">
        <f t="shared" si="179"/>
        <v>0.20998612745687695</v>
      </c>
      <c r="BG84" s="177">
        <f t="shared" si="156"/>
        <v>0.4454810234094253</v>
      </c>
      <c r="BH84" s="177"/>
      <c r="BI84" s="538">
        <f t="shared" si="157"/>
        <v>1.5432960803517519E-2</v>
      </c>
      <c r="BJ84" s="538">
        <f t="shared" si="158"/>
        <v>6.6686938298565063E-2</v>
      </c>
      <c r="BK84" s="538">
        <f t="shared" si="159"/>
        <v>4.3749999999999995E-3</v>
      </c>
      <c r="BL84" s="538">
        <f t="shared" si="160"/>
        <v>4.6565908480000008E-2</v>
      </c>
      <c r="BM84">
        <f t="shared" si="161"/>
        <v>9.2800000000000001E-3</v>
      </c>
      <c r="BN84">
        <f t="shared" si="162"/>
        <v>2.3625000000000002E-5</v>
      </c>
      <c r="BO84" s="538">
        <f t="shared" si="163"/>
        <v>0.144860354951759</v>
      </c>
      <c r="BP84" s="469">
        <f t="shared" si="180"/>
        <v>144.86035495175901</v>
      </c>
      <c r="BQ84" s="538">
        <f t="shared" si="164"/>
        <v>0.13616517672724127</v>
      </c>
      <c r="BR84" s="538"/>
      <c r="BT84" s="469">
        <f t="shared" si="181"/>
        <v>136.16517672724126</v>
      </c>
      <c r="BU84" s="538">
        <f t="shared" si="165"/>
        <v>4.4094173724335776E-3</v>
      </c>
      <c r="BV84" s="538">
        <f t="shared" si="166"/>
        <v>5.9536002665372678E-3</v>
      </c>
      <c r="BW84" s="538">
        <f t="shared" si="167"/>
        <v>0</v>
      </c>
      <c r="BX84" s="538">
        <f t="shared" si="168"/>
        <v>1.1616210074839631E-2</v>
      </c>
      <c r="BY84" s="538">
        <f t="shared" si="169"/>
        <v>9.5502222222222256E-3</v>
      </c>
      <c r="BZ84" s="469">
        <f t="shared" si="182"/>
        <v>21.166432297061856</v>
      </c>
      <c r="CA84" s="177">
        <f t="shared" si="183"/>
        <v>0.30219196397606213</v>
      </c>
      <c r="CB84" s="5">
        <f t="shared" si="184"/>
        <v>2.5280000000000005</v>
      </c>
      <c r="CC84" s="177">
        <f t="shared" si="185"/>
        <v>0.89322562998464583</v>
      </c>
      <c r="CD84" s="5">
        <f t="shared" si="186"/>
        <v>89.322562998464576</v>
      </c>
      <c r="CG84" s="571">
        <f t="shared" si="170"/>
        <v>-50</v>
      </c>
      <c r="CH84">
        <f t="shared" si="171"/>
        <v>-50</v>
      </c>
    </row>
    <row r="85" spans="5:86" x14ac:dyDescent="0.25">
      <c r="E85" s="174">
        <v>80</v>
      </c>
      <c r="F85" s="221">
        <f t="shared" si="172"/>
        <v>0.16000000000000003</v>
      </c>
      <c r="G85" s="221"/>
      <c r="H85" s="221">
        <f t="shared" si="120"/>
        <v>2.5600000000000005</v>
      </c>
      <c r="I85" s="551">
        <f t="shared" si="121"/>
        <v>32</v>
      </c>
      <c r="J85" s="176">
        <f t="shared" si="122"/>
        <v>19.584</v>
      </c>
      <c r="K85" s="451">
        <f t="shared" si="123"/>
        <v>51.584000000000003</v>
      </c>
      <c r="L85" s="451"/>
      <c r="M85" s="221">
        <f t="shared" si="124"/>
        <v>0.37965260545905705</v>
      </c>
      <c r="N85" s="176">
        <f t="shared" si="125"/>
        <v>8.200496277915633</v>
      </c>
      <c r="O85" s="176">
        <f t="shared" si="173"/>
        <v>2.5600000000000005</v>
      </c>
      <c r="P85" s="221">
        <f t="shared" si="126"/>
        <v>0.51253101736972706</v>
      </c>
      <c r="Q85" s="221">
        <f t="shared" si="127"/>
        <v>16</v>
      </c>
      <c r="R85" s="221">
        <f t="shared" si="128"/>
        <v>0.56947890818858549</v>
      </c>
      <c r="S85" s="176">
        <f t="shared" si="129"/>
        <v>108.41181389047667</v>
      </c>
      <c r="T85" s="176">
        <f t="shared" si="130"/>
        <v>16</v>
      </c>
      <c r="U85" s="221">
        <f t="shared" si="131"/>
        <v>0.4682643427741468</v>
      </c>
      <c r="V85" s="221">
        <f t="shared" si="132"/>
        <v>0.43899782135076265</v>
      </c>
      <c r="W85" s="221">
        <f t="shared" si="133"/>
        <v>0.71731670155353366</v>
      </c>
      <c r="X85" s="201">
        <f t="shared" si="134"/>
        <v>350</v>
      </c>
      <c r="Y85" s="451">
        <f t="shared" si="174"/>
        <v>350</v>
      </c>
      <c r="AA85" s="221">
        <f t="shared" si="135"/>
        <v>1.1570365118752215</v>
      </c>
      <c r="AB85" s="177">
        <f t="shared" si="136"/>
        <v>1.7724211272598367</v>
      </c>
      <c r="AC85" s="177">
        <f t="shared" si="137"/>
        <v>0.4306587513183206</v>
      </c>
      <c r="AD85" s="177"/>
      <c r="AE85" s="177">
        <f t="shared" si="138"/>
        <v>0.4595588235294118</v>
      </c>
      <c r="AF85" s="555">
        <f t="shared" si="139"/>
        <v>1934.2222222222226</v>
      </c>
      <c r="AG85" s="538">
        <f t="shared" si="140"/>
        <v>2.8952205882352939E-2</v>
      </c>
      <c r="AI85" s="177">
        <f t="shared" si="141"/>
        <v>0.74339418926631429</v>
      </c>
      <c r="AJ85" s="177">
        <f t="shared" si="142"/>
        <v>0.74339418926631429</v>
      </c>
      <c r="AK85" s="177">
        <f t="shared" si="143"/>
        <v>1.4955961261775428</v>
      </c>
      <c r="AM85" s="555">
        <f t="shared" si="144"/>
        <v>160.00000000000003</v>
      </c>
      <c r="AN85" s="469">
        <f t="shared" si="145"/>
        <v>350</v>
      </c>
      <c r="AP85">
        <f t="shared" si="146"/>
        <v>160.00000000000003</v>
      </c>
      <c r="AQ85">
        <f t="shared" si="147"/>
        <v>350</v>
      </c>
      <c r="AS85" s="5">
        <f t="shared" si="175"/>
        <v>2.8571428571428572</v>
      </c>
      <c r="AT85" s="5">
        <f t="shared" si="148"/>
        <v>0.6969320524371696</v>
      </c>
      <c r="AU85" s="5">
        <f t="shared" si="176"/>
        <v>2.1602108047056876</v>
      </c>
      <c r="AV85" s="5">
        <f t="shared" si="149"/>
        <v>1.1387778634594277</v>
      </c>
      <c r="AW85" s="177">
        <f t="shared" si="177"/>
        <v>0.24392621835300934</v>
      </c>
      <c r="AX85" s="177">
        <f t="shared" si="150"/>
        <v>2.901333333333334</v>
      </c>
      <c r="AY85" s="177">
        <f t="shared" si="151"/>
        <v>0.33723651355978856</v>
      </c>
      <c r="AZ85" s="177">
        <f t="shared" si="178"/>
        <v>8.6032597796352128</v>
      </c>
      <c r="BA85" s="469">
        <f t="shared" si="152"/>
        <v>6.273549245269658</v>
      </c>
      <c r="BB85" s="469">
        <f t="shared" si="153"/>
        <v>1.304362666666667</v>
      </c>
      <c r="BC85" s="5">
        <f t="shared" si="154"/>
        <v>0.12001171137253822</v>
      </c>
      <c r="BD85" s="469">
        <f t="shared" si="155"/>
        <v>19.468540486272783</v>
      </c>
      <c r="BE85" s="5"/>
      <c r="BF85" s="177">
        <f t="shared" si="179"/>
        <v>0.21197652882673249</v>
      </c>
      <c r="BG85" s="177">
        <f t="shared" si="156"/>
        <v>0.44783895729494322</v>
      </c>
      <c r="BH85" s="177"/>
      <c r="BI85" s="538">
        <f t="shared" si="157"/>
        <v>1.5726917070700692E-2</v>
      </c>
      <c r="BJ85" s="538">
        <f t="shared" si="158"/>
        <v>6.7107680253448723E-2</v>
      </c>
      <c r="BK85" s="538">
        <f t="shared" si="159"/>
        <v>4.3749999999999995E-3</v>
      </c>
      <c r="BL85" s="538">
        <f t="shared" si="160"/>
        <v>4.6565908480000008E-2</v>
      </c>
      <c r="BM85">
        <f t="shared" si="161"/>
        <v>9.2800000000000001E-3</v>
      </c>
      <c r="BN85">
        <f t="shared" si="162"/>
        <v>2.3625000000000002E-5</v>
      </c>
      <c r="BO85" s="538">
        <f t="shared" si="163"/>
        <v>0.14562481192202253</v>
      </c>
      <c r="BP85" s="469">
        <f t="shared" si="180"/>
        <v>145.62481192202253</v>
      </c>
      <c r="BQ85" s="538">
        <f t="shared" si="164"/>
        <v>0.13773381749833041</v>
      </c>
      <c r="BR85" s="538"/>
      <c r="BT85" s="469">
        <f t="shared" si="181"/>
        <v>137.73381749833041</v>
      </c>
      <c r="BU85" s="538">
        <f t="shared" si="165"/>
        <v>4.4934048773430544E-3</v>
      </c>
      <c r="BV85" s="538">
        <f t="shared" si="166"/>
        <v>6.0167919501306595E-3</v>
      </c>
      <c r="BW85" s="538">
        <f t="shared" si="167"/>
        <v>0</v>
      </c>
      <c r="BX85" s="538">
        <f t="shared" si="168"/>
        <v>1.1781326371494811E-2</v>
      </c>
      <c r="BY85" s="538">
        <f t="shared" si="169"/>
        <v>9.671111111111113E-3</v>
      </c>
      <c r="BZ85" s="469">
        <f t="shared" si="182"/>
        <v>21.452437482605927</v>
      </c>
      <c r="CA85" s="177">
        <f t="shared" si="183"/>
        <v>0.30481106690295889</v>
      </c>
      <c r="CB85" s="5">
        <f t="shared" si="184"/>
        <v>2.5600000000000005</v>
      </c>
      <c r="CC85" s="177">
        <f t="shared" si="185"/>
        <v>0.89360168618991043</v>
      </c>
      <c r="CD85" s="5">
        <f t="shared" si="186"/>
        <v>89.36016861899104</v>
      </c>
      <c r="CG85" s="571">
        <f t="shared" si="170"/>
        <v>-50</v>
      </c>
      <c r="CH85">
        <f t="shared" si="171"/>
        <v>-50</v>
      </c>
    </row>
    <row r="86" spans="5:86" x14ac:dyDescent="0.25">
      <c r="E86" s="174">
        <v>81</v>
      </c>
      <c r="F86" s="221">
        <f t="shared" si="172"/>
        <v>0.16200000000000003</v>
      </c>
      <c r="G86" s="221"/>
      <c r="H86" s="221">
        <f t="shared" si="120"/>
        <v>2.5920000000000005</v>
      </c>
      <c r="I86" s="551">
        <f t="shared" si="121"/>
        <v>32</v>
      </c>
      <c r="J86" s="176">
        <f t="shared" si="122"/>
        <v>19.584</v>
      </c>
      <c r="K86" s="451">
        <f t="shared" si="123"/>
        <v>51.584000000000003</v>
      </c>
      <c r="L86" s="451"/>
      <c r="M86" s="221">
        <f t="shared" si="124"/>
        <v>0.37965260545905705</v>
      </c>
      <c r="N86" s="176">
        <f t="shared" si="125"/>
        <v>8.200496277915633</v>
      </c>
      <c r="O86" s="176">
        <f t="shared" si="173"/>
        <v>2.5920000000000005</v>
      </c>
      <c r="P86" s="221">
        <f t="shared" si="126"/>
        <v>0.51253101736972706</v>
      </c>
      <c r="Q86" s="221">
        <f t="shared" si="127"/>
        <v>16</v>
      </c>
      <c r="R86" s="221">
        <f t="shared" si="128"/>
        <v>0.56947890818858549</v>
      </c>
      <c r="S86" s="176">
        <f t="shared" si="129"/>
        <v>106.74636800978638</v>
      </c>
      <c r="T86" s="176">
        <f t="shared" si="130"/>
        <v>16</v>
      </c>
      <c r="U86" s="221">
        <f t="shared" si="131"/>
        <v>0.47411764705882364</v>
      </c>
      <c r="V86" s="221">
        <f t="shared" si="132"/>
        <v>0.44448529411764715</v>
      </c>
      <c r="W86" s="221">
        <f t="shared" si="133"/>
        <v>0.72628316032295281</v>
      </c>
      <c r="X86" s="201">
        <f t="shared" si="134"/>
        <v>350</v>
      </c>
      <c r="Y86" s="451">
        <f t="shared" si="174"/>
        <v>350</v>
      </c>
      <c r="AA86" s="221">
        <f t="shared" si="135"/>
        <v>1.1570365118752215</v>
      </c>
      <c r="AB86" s="177">
        <f t="shared" si="136"/>
        <v>1.7724211272598367</v>
      </c>
      <c r="AC86" s="177">
        <f t="shared" si="137"/>
        <v>0.4306587513183206</v>
      </c>
      <c r="AD86" s="177"/>
      <c r="AE86" s="177">
        <f t="shared" si="138"/>
        <v>0.4595588235294118</v>
      </c>
      <c r="AF86" s="555">
        <f t="shared" si="139"/>
        <v>1958.4000000000005</v>
      </c>
      <c r="AG86" s="538">
        <f t="shared" si="140"/>
        <v>2.8952205882352939E-2</v>
      </c>
      <c r="AI86" s="177">
        <f t="shared" si="141"/>
        <v>0.74802597357502043</v>
      </c>
      <c r="AJ86" s="177">
        <f t="shared" si="142"/>
        <v>0.74802597357502043</v>
      </c>
      <c r="AK86" s="177">
        <f t="shared" si="143"/>
        <v>1.4986839823833469</v>
      </c>
      <c r="AM86" s="555">
        <f t="shared" si="144"/>
        <v>162.00000000000003</v>
      </c>
      <c r="AN86" s="469">
        <f t="shared" si="145"/>
        <v>350</v>
      </c>
      <c r="AP86">
        <f t="shared" si="146"/>
        <v>162.00000000000003</v>
      </c>
      <c r="AQ86">
        <f t="shared" si="147"/>
        <v>350</v>
      </c>
      <c r="AS86" s="5">
        <f t="shared" si="175"/>
        <v>2.8571428571428572</v>
      </c>
      <c r="AT86" s="5">
        <f t="shared" si="148"/>
        <v>0.70127435022658169</v>
      </c>
      <c r="AU86" s="5">
        <f t="shared" si="176"/>
        <v>2.1558685069162755</v>
      </c>
      <c r="AV86" s="5">
        <f t="shared" si="149"/>
        <v>1.1458731212852644</v>
      </c>
      <c r="AW86" s="177">
        <f t="shared" si="177"/>
        <v>0.24544602257930359</v>
      </c>
      <c r="AX86" s="177">
        <f t="shared" si="150"/>
        <v>2.9375999999999998</v>
      </c>
      <c r="AY86" s="177">
        <f t="shared" si="151"/>
        <v>0.33865558414501223</v>
      </c>
      <c r="AZ86" s="177">
        <f t="shared" si="178"/>
        <v>8.6742996056492618</v>
      </c>
      <c r="BA86" s="469">
        <f t="shared" si="152"/>
        <v>6.273549245269658</v>
      </c>
      <c r="BB86" s="469">
        <f t="shared" si="153"/>
        <v>1.3311005400000004</v>
      </c>
      <c r="BC86" s="5">
        <f t="shared" si="154"/>
        <v>0.12126760351404052</v>
      </c>
      <c r="BD86" s="469">
        <f t="shared" si="155"/>
        <v>19.672816562246481</v>
      </c>
      <c r="BE86" s="5"/>
      <c r="BF86" s="177">
        <f t="shared" si="179"/>
        <v>0.2139607197192776</v>
      </c>
      <c r="BG86" s="177">
        <f t="shared" si="156"/>
        <v>0.45017611934592006</v>
      </c>
      <c r="BH86" s="177"/>
      <c r="BI86" s="538">
        <f t="shared" si="157"/>
        <v>1.6022716353976941E-2</v>
      </c>
      <c r="BJ86" s="538">
        <f t="shared" si="158"/>
        <v>6.7525800686564247E-2</v>
      </c>
      <c r="BK86" s="538">
        <f t="shared" si="159"/>
        <v>4.3749999999999995E-3</v>
      </c>
      <c r="BL86" s="538">
        <f t="shared" si="160"/>
        <v>4.6565908480000008E-2</v>
      </c>
      <c r="BM86">
        <f t="shared" si="161"/>
        <v>9.2800000000000001E-3</v>
      </c>
      <c r="BN86">
        <f t="shared" si="162"/>
        <v>2.3625000000000002E-5</v>
      </c>
      <c r="BO86" s="538">
        <f t="shared" si="163"/>
        <v>0.14638887071492787</v>
      </c>
      <c r="BP86" s="469">
        <f t="shared" si="180"/>
        <v>146.38887071492786</v>
      </c>
      <c r="BQ86" s="538">
        <f t="shared" si="164"/>
        <v>0.13929956168001251</v>
      </c>
      <c r="BR86" s="538"/>
      <c r="BT86" s="469">
        <f t="shared" si="181"/>
        <v>139.29956168001252</v>
      </c>
      <c r="BU86" s="538">
        <f t="shared" si="165"/>
        <v>4.5779189582791265E-3</v>
      </c>
      <c r="BV86" s="538">
        <f t="shared" si="166"/>
        <v>6.079756152880561E-3</v>
      </c>
      <c r="BW86" s="538">
        <f t="shared" si="167"/>
        <v>0</v>
      </c>
      <c r="BX86" s="538">
        <f t="shared" si="168"/>
        <v>1.1946782118294098E-2</v>
      </c>
      <c r="BY86" s="538">
        <f t="shared" si="169"/>
        <v>9.7920000000000004E-3</v>
      </c>
      <c r="BZ86" s="469">
        <f t="shared" si="182"/>
        <v>21.738782118294097</v>
      </c>
      <c r="CA86" s="177">
        <f t="shared" si="183"/>
        <v>0.30742721451323446</v>
      </c>
      <c r="CB86" s="5">
        <f t="shared" si="184"/>
        <v>2.5920000000000005</v>
      </c>
      <c r="CC86" s="177">
        <f t="shared" si="185"/>
        <v>0.89396967339811417</v>
      </c>
      <c r="CD86" s="5">
        <f t="shared" si="186"/>
        <v>89.396967339811411</v>
      </c>
      <c r="CG86" s="571">
        <f t="shared" si="170"/>
        <v>-50</v>
      </c>
      <c r="CH86">
        <f t="shared" si="171"/>
        <v>-50</v>
      </c>
    </row>
    <row r="87" spans="5:86" x14ac:dyDescent="0.25">
      <c r="E87" s="174">
        <v>82</v>
      </c>
      <c r="F87" s="221">
        <f t="shared" si="172"/>
        <v>0.16400000000000001</v>
      </c>
      <c r="G87" s="221"/>
      <c r="H87" s="221">
        <f t="shared" si="120"/>
        <v>2.6240000000000001</v>
      </c>
      <c r="I87" s="551">
        <f t="shared" si="121"/>
        <v>32</v>
      </c>
      <c r="J87" s="176">
        <f t="shared" si="122"/>
        <v>19.584</v>
      </c>
      <c r="K87" s="451">
        <f t="shared" si="123"/>
        <v>51.584000000000003</v>
      </c>
      <c r="L87" s="451"/>
      <c r="M87" s="221">
        <f t="shared" si="124"/>
        <v>0.37965260545905705</v>
      </c>
      <c r="N87" s="176">
        <f t="shared" si="125"/>
        <v>8.200496277915633</v>
      </c>
      <c r="O87" s="176">
        <f t="shared" si="173"/>
        <v>2.6240000000000001</v>
      </c>
      <c r="P87" s="221">
        <f t="shared" si="126"/>
        <v>0.51253101736972706</v>
      </c>
      <c r="Q87" s="221">
        <f t="shared" si="127"/>
        <v>16</v>
      </c>
      <c r="R87" s="221">
        <f t="shared" si="128"/>
        <v>0.56947890818858549</v>
      </c>
      <c r="S87" s="176">
        <f t="shared" si="129"/>
        <v>105.12157989695434</v>
      </c>
      <c r="T87" s="176">
        <f t="shared" si="130"/>
        <v>16</v>
      </c>
      <c r="U87" s="221">
        <f t="shared" si="131"/>
        <v>0.47997095134350043</v>
      </c>
      <c r="V87" s="221">
        <f t="shared" si="132"/>
        <v>0.44997276688453164</v>
      </c>
      <c r="W87" s="221">
        <f t="shared" si="133"/>
        <v>0.73524961909237196</v>
      </c>
      <c r="X87" s="201">
        <f t="shared" si="134"/>
        <v>350</v>
      </c>
      <c r="Y87" s="451">
        <f t="shared" si="174"/>
        <v>350</v>
      </c>
      <c r="AA87" s="221">
        <f t="shared" si="135"/>
        <v>1.1570365118752215</v>
      </c>
      <c r="AB87" s="177">
        <f t="shared" si="136"/>
        <v>1.7724211272598367</v>
      </c>
      <c r="AC87" s="177">
        <f t="shared" si="137"/>
        <v>0.4306587513183206</v>
      </c>
      <c r="AD87" s="177"/>
      <c r="AE87" s="177">
        <f t="shared" si="138"/>
        <v>0.4595588235294118</v>
      </c>
      <c r="AF87" s="555">
        <f t="shared" si="139"/>
        <v>1982.577777777778</v>
      </c>
      <c r="AG87" s="538">
        <f t="shared" si="140"/>
        <v>2.8952205882352939E-2</v>
      </c>
      <c r="AI87" s="177">
        <f t="shared" si="141"/>
        <v>0.75262925378355683</v>
      </c>
      <c r="AJ87" s="177">
        <f t="shared" si="142"/>
        <v>0.75262925378355683</v>
      </c>
      <c r="AK87" s="177">
        <f t="shared" si="143"/>
        <v>1.5017528358557046</v>
      </c>
      <c r="AM87" s="555">
        <f t="shared" si="144"/>
        <v>164</v>
      </c>
      <c r="AN87" s="469">
        <f t="shared" si="145"/>
        <v>350</v>
      </c>
      <c r="AP87">
        <f t="shared" si="146"/>
        <v>164</v>
      </c>
      <c r="AQ87">
        <f t="shared" si="147"/>
        <v>350</v>
      </c>
      <c r="AS87" s="5">
        <f t="shared" si="175"/>
        <v>2.8571428571428572</v>
      </c>
      <c r="AT87" s="5">
        <f t="shared" si="148"/>
        <v>0.70558992542208454</v>
      </c>
      <c r="AU87" s="5">
        <f t="shared" si="176"/>
        <v>2.1515529317207727</v>
      </c>
      <c r="AV87" s="5">
        <f t="shared" si="149"/>
        <v>1.1529247147419681</v>
      </c>
      <c r="AW87" s="177">
        <f t="shared" si="177"/>
        <v>0.24695647389772959</v>
      </c>
      <c r="AX87" s="177">
        <f t="shared" si="150"/>
        <v>2.9738666666666664</v>
      </c>
      <c r="AY87" s="177">
        <f t="shared" si="151"/>
        <v>0.34005755227013412</v>
      </c>
      <c r="AZ87" s="177">
        <f t="shared" si="178"/>
        <v>8.7451863568796533</v>
      </c>
      <c r="BA87" s="469">
        <f t="shared" si="152"/>
        <v>6.273549245269658</v>
      </c>
      <c r="BB87" s="469">
        <f t="shared" si="153"/>
        <v>1.3580960266666666</v>
      </c>
      <c r="BC87" s="5">
        <f t="shared" si="154"/>
        <v>0.12251898638965511</v>
      </c>
      <c r="BD87" s="469">
        <f t="shared" si="155"/>
        <v>19.87637115567815</v>
      </c>
      <c r="BE87" s="5"/>
      <c r="BF87" s="177">
        <f t="shared" si="179"/>
        <v>0.21593879583234565</v>
      </c>
      <c r="BG87" s="177">
        <f t="shared" si="156"/>
        <v>0.45249288331069593</v>
      </c>
      <c r="BH87" s="177"/>
      <c r="BI87" s="538">
        <f t="shared" si="157"/>
        <v>1.632034724093321E-2</v>
      </c>
      <c r="BJ87" s="538">
        <f t="shared" si="158"/>
        <v>6.7941347997549251E-2</v>
      </c>
      <c r="BK87" s="538">
        <f t="shared" si="159"/>
        <v>4.3749999999999995E-3</v>
      </c>
      <c r="BL87" s="538">
        <f t="shared" si="160"/>
        <v>4.6565908480000008E-2</v>
      </c>
      <c r="BM87">
        <f t="shared" si="161"/>
        <v>9.2800000000000001E-3</v>
      </c>
      <c r="BN87">
        <f t="shared" si="162"/>
        <v>2.3625000000000002E-5</v>
      </c>
      <c r="BO87" s="538">
        <f t="shared" si="163"/>
        <v>0.14715256728968976</v>
      </c>
      <c r="BP87" s="469">
        <f t="shared" si="180"/>
        <v>147.15256728968976</v>
      </c>
      <c r="BQ87" s="538">
        <f t="shared" si="164"/>
        <v>0.14086242720868794</v>
      </c>
      <c r="BR87" s="538"/>
      <c r="BT87" s="469">
        <f t="shared" si="181"/>
        <v>140.86242720868793</v>
      </c>
      <c r="BU87" s="538">
        <f t="shared" si="165"/>
        <v>4.662956354552346E-3</v>
      </c>
      <c r="BV87" s="538">
        <f t="shared" si="166"/>
        <v>6.1424942834048119E-3</v>
      </c>
      <c r="BW87" s="538">
        <f t="shared" si="167"/>
        <v>0</v>
      </c>
      <c r="BX87" s="538">
        <f t="shared" si="168"/>
        <v>1.2112575261238726E-2</v>
      </c>
      <c r="BY87" s="538">
        <f t="shared" si="169"/>
        <v>9.9128888888888878E-3</v>
      </c>
      <c r="BZ87" s="469">
        <f t="shared" si="182"/>
        <v>22.025464150127615</v>
      </c>
      <c r="CA87" s="177">
        <f t="shared" si="183"/>
        <v>0.31004045864850527</v>
      </c>
      <c r="CB87" s="5">
        <f t="shared" si="184"/>
        <v>2.6240000000000001</v>
      </c>
      <c r="CC87" s="177">
        <f t="shared" si="185"/>
        <v>0.89432986251617064</v>
      </c>
      <c r="CD87" s="5">
        <f t="shared" si="186"/>
        <v>89.432986251617066</v>
      </c>
      <c r="CG87" s="571">
        <f t="shared" si="170"/>
        <v>-50</v>
      </c>
      <c r="CH87">
        <f t="shared" si="171"/>
        <v>-50</v>
      </c>
    </row>
    <row r="88" spans="5:86" x14ac:dyDescent="0.25">
      <c r="E88" s="174">
        <v>83</v>
      </c>
      <c r="F88" s="221">
        <f t="shared" si="172"/>
        <v>0.16600000000000001</v>
      </c>
      <c r="G88" s="221"/>
      <c r="H88" s="221">
        <f t="shared" si="120"/>
        <v>2.6560000000000001</v>
      </c>
      <c r="I88" s="551">
        <f t="shared" si="121"/>
        <v>32</v>
      </c>
      <c r="J88" s="176">
        <f t="shared" si="122"/>
        <v>19.584</v>
      </c>
      <c r="K88" s="451">
        <f t="shared" si="123"/>
        <v>51.584000000000003</v>
      </c>
      <c r="L88" s="451"/>
      <c r="M88" s="221">
        <f t="shared" si="124"/>
        <v>0.37965260545905705</v>
      </c>
      <c r="N88" s="176">
        <f t="shared" si="125"/>
        <v>8.200496277915633</v>
      </c>
      <c r="O88" s="176">
        <f t="shared" si="173"/>
        <v>2.6560000000000001</v>
      </c>
      <c r="P88" s="221">
        <f t="shared" si="126"/>
        <v>0.51253101736972706</v>
      </c>
      <c r="Q88" s="221">
        <f t="shared" si="127"/>
        <v>16</v>
      </c>
      <c r="R88" s="221">
        <f t="shared" si="128"/>
        <v>0.56947890818858549</v>
      </c>
      <c r="S88" s="176">
        <f t="shared" si="129"/>
        <v>103.53598032565168</v>
      </c>
      <c r="T88" s="176">
        <f t="shared" si="130"/>
        <v>16</v>
      </c>
      <c r="U88" s="221">
        <f t="shared" si="131"/>
        <v>0.48582425562817727</v>
      </c>
      <c r="V88" s="221">
        <f t="shared" si="132"/>
        <v>0.45546023965141619</v>
      </c>
      <c r="W88" s="221">
        <f t="shared" si="133"/>
        <v>0.74421607786179123</v>
      </c>
      <c r="X88" s="201">
        <f t="shared" si="134"/>
        <v>350</v>
      </c>
      <c r="Y88" s="451">
        <f t="shared" si="174"/>
        <v>350</v>
      </c>
      <c r="AA88" s="221">
        <f t="shared" si="135"/>
        <v>1.1570365118752215</v>
      </c>
      <c r="AB88" s="177">
        <f t="shared" si="136"/>
        <v>1.7724211272598367</v>
      </c>
      <c r="AC88" s="177">
        <f t="shared" si="137"/>
        <v>0.4306587513183206</v>
      </c>
      <c r="AD88" s="177"/>
      <c r="AE88" s="177">
        <f t="shared" si="138"/>
        <v>0.4595588235294118</v>
      </c>
      <c r="AF88" s="555">
        <f t="shared" si="139"/>
        <v>2006.7555555555557</v>
      </c>
      <c r="AG88" s="538">
        <f t="shared" si="140"/>
        <v>2.8952205882352939E-2</v>
      </c>
      <c r="AI88" s="177">
        <f t="shared" si="141"/>
        <v>0.75720454974777462</v>
      </c>
      <c r="AJ88" s="177">
        <f t="shared" si="142"/>
        <v>0.75720454974777462</v>
      </c>
      <c r="AK88" s="177">
        <f t="shared" si="143"/>
        <v>1.5048030331651832</v>
      </c>
      <c r="AM88" s="555">
        <f t="shared" si="144"/>
        <v>166</v>
      </c>
      <c r="AN88" s="469">
        <f t="shared" si="145"/>
        <v>350</v>
      </c>
      <c r="AP88">
        <f t="shared" si="146"/>
        <v>166</v>
      </c>
      <c r="AQ88">
        <f t="shared" si="147"/>
        <v>350</v>
      </c>
      <c r="AS88" s="5">
        <f t="shared" si="175"/>
        <v>2.8571428571428572</v>
      </c>
      <c r="AT88" s="5">
        <f t="shared" si="148"/>
        <v>0.70987926538853874</v>
      </c>
      <c r="AU88" s="5">
        <f t="shared" si="176"/>
        <v>2.1472635917543186</v>
      </c>
      <c r="AV88" s="5">
        <f t="shared" si="149"/>
        <v>1.1599334401773507</v>
      </c>
      <c r="AW88" s="177">
        <f t="shared" si="177"/>
        <v>0.24845774288598854</v>
      </c>
      <c r="AX88" s="177">
        <f t="shared" si="150"/>
        <v>3.0101333333333327</v>
      </c>
      <c r="AY88" s="177">
        <f t="shared" si="151"/>
        <v>0.34144272984866475</v>
      </c>
      <c r="AZ88" s="177">
        <f t="shared" si="178"/>
        <v>8.8159245173194716</v>
      </c>
      <c r="BA88" s="469">
        <f t="shared" si="152"/>
        <v>6.273549245269658</v>
      </c>
      <c r="BB88" s="469">
        <f t="shared" si="153"/>
        <v>1.3853491266666667</v>
      </c>
      <c r="BC88" s="5">
        <f t="shared" si="154"/>
        <v>0.12376588758028363</v>
      </c>
      <c r="BD88" s="469">
        <f t="shared" si="155"/>
        <v>20.07920867951205</v>
      </c>
      <c r="BE88" s="5"/>
      <c r="BF88" s="177">
        <f t="shared" si="179"/>
        <v>0.2179108502417251</v>
      </c>
      <c r="BG88" s="177">
        <f t="shared" si="156"/>
        <v>0.45478961159613945</v>
      </c>
      <c r="BH88" s="177"/>
      <c r="BI88" s="538">
        <f t="shared" si="157"/>
        <v>1.661979852857504E-2</v>
      </c>
      <c r="BJ88" s="538">
        <f t="shared" si="158"/>
        <v>6.8354369114831115E-2</v>
      </c>
      <c r="BK88" s="538">
        <f t="shared" si="159"/>
        <v>4.3749999999999995E-3</v>
      </c>
      <c r="BL88" s="538">
        <f t="shared" si="160"/>
        <v>4.6565908480000008E-2</v>
      </c>
      <c r="BM88">
        <f t="shared" si="161"/>
        <v>9.2800000000000001E-3</v>
      </c>
      <c r="BN88">
        <f t="shared" si="162"/>
        <v>2.3625000000000002E-5</v>
      </c>
      <c r="BO88" s="538">
        <f t="shared" si="163"/>
        <v>0.1479159363746497</v>
      </c>
      <c r="BP88" s="469">
        <f t="shared" si="180"/>
        <v>147.9159363746497</v>
      </c>
      <c r="BQ88" s="538">
        <f t="shared" si="164"/>
        <v>0.14242243169162316</v>
      </c>
      <c r="BR88" s="538"/>
      <c r="BT88" s="469">
        <f t="shared" si="181"/>
        <v>142.42243169162316</v>
      </c>
      <c r="BU88" s="538">
        <f t="shared" si="165"/>
        <v>4.7485138653071551E-3</v>
      </c>
      <c r="BV88" s="538">
        <f t="shared" si="166"/>
        <v>6.2050077244730209E-3</v>
      </c>
      <c r="BW88" s="538">
        <f t="shared" si="167"/>
        <v>0</v>
      </c>
      <c r="BX88" s="538">
        <f t="shared" si="168"/>
        <v>1.2278703784313479E-2</v>
      </c>
      <c r="BY88" s="538">
        <f t="shared" si="169"/>
        <v>1.0033777777777777E-2</v>
      </c>
      <c r="BZ88" s="469">
        <f t="shared" si="182"/>
        <v>22.312481562091257</v>
      </c>
      <c r="CA88" s="177">
        <f t="shared" si="183"/>
        <v>0.31265084962836415</v>
      </c>
      <c r="CB88" s="5">
        <f t="shared" si="184"/>
        <v>2.6560000000000001</v>
      </c>
      <c r="CC88" s="177">
        <f t="shared" si="185"/>
        <v>0.89468251220331152</v>
      </c>
      <c r="CD88" s="5">
        <f t="shared" si="186"/>
        <v>89.468251220331155</v>
      </c>
      <c r="CG88" s="571">
        <f t="shared" si="170"/>
        <v>-50</v>
      </c>
      <c r="CH88">
        <f t="shared" si="171"/>
        <v>-50</v>
      </c>
    </row>
    <row r="89" spans="5:86" x14ac:dyDescent="0.25">
      <c r="E89" s="174">
        <v>84</v>
      </c>
      <c r="F89" s="221">
        <f t="shared" si="172"/>
        <v>0.16800000000000001</v>
      </c>
      <c r="G89" s="221"/>
      <c r="H89" s="221">
        <f t="shared" si="120"/>
        <v>2.6880000000000002</v>
      </c>
      <c r="I89" s="551">
        <f t="shared" si="121"/>
        <v>32</v>
      </c>
      <c r="J89" s="176">
        <f t="shared" si="122"/>
        <v>19.584</v>
      </c>
      <c r="K89" s="451">
        <f t="shared" si="123"/>
        <v>51.584000000000003</v>
      </c>
      <c r="L89" s="451"/>
      <c r="M89" s="221">
        <f t="shared" si="124"/>
        <v>0.37965260545905705</v>
      </c>
      <c r="N89" s="176">
        <f t="shared" si="125"/>
        <v>8.200496277915633</v>
      </c>
      <c r="O89" s="176">
        <f t="shared" si="173"/>
        <v>2.6880000000000002</v>
      </c>
      <c r="P89" s="221">
        <f t="shared" si="126"/>
        <v>0.51253101736972706</v>
      </c>
      <c r="Q89" s="221">
        <f t="shared" si="127"/>
        <v>16</v>
      </c>
      <c r="R89" s="221">
        <f t="shared" si="128"/>
        <v>0.56947890818858549</v>
      </c>
      <c r="S89" s="176">
        <f t="shared" si="129"/>
        <v>101.98817003658833</v>
      </c>
      <c r="T89" s="176">
        <f t="shared" si="130"/>
        <v>16</v>
      </c>
      <c r="U89" s="221">
        <f t="shared" si="131"/>
        <v>0.49167755991285411</v>
      </c>
      <c r="V89" s="221">
        <f t="shared" si="132"/>
        <v>0.46094771241830074</v>
      </c>
      <c r="W89" s="221">
        <f t="shared" si="133"/>
        <v>0.75318253663121038</v>
      </c>
      <c r="X89" s="201">
        <f t="shared" si="134"/>
        <v>350</v>
      </c>
      <c r="Y89" s="451">
        <f t="shared" si="174"/>
        <v>350</v>
      </c>
      <c r="AA89" s="221">
        <f t="shared" si="135"/>
        <v>1.1570365118752215</v>
      </c>
      <c r="AB89" s="177">
        <f t="shared" si="136"/>
        <v>1.7724211272598367</v>
      </c>
      <c r="AC89" s="177">
        <f t="shared" si="137"/>
        <v>0.4306587513183206</v>
      </c>
      <c r="AD89" s="177"/>
      <c r="AE89" s="177">
        <f t="shared" si="138"/>
        <v>0.4595588235294118</v>
      </c>
      <c r="AF89" s="555">
        <f t="shared" si="139"/>
        <v>2030.9333333333336</v>
      </c>
      <c r="AG89" s="538">
        <f t="shared" si="140"/>
        <v>2.8952205882352939E-2</v>
      </c>
      <c r="AI89" s="177">
        <f t="shared" si="141"/>
        <v>0.76175236571123728</v>
      </c>
      <c r="AJ89" s="177">
        <f t="shared" si="142"/>
        <v>0.76175236571123728</v>
      </c>
      <c r="AK89" s="177">
        <f t="shared" si="143"/>
        <v>1.5078349104741582</v>
      </c>
      <c r="AM89" s="555">
        <f t="shared" si="144"/>
        <v>168</v>
      </c>
      <c r="AN89" s="469">
        <f t="shared" si="145"/>
        <v>350</v>
      </c>
      <c r="AP89">
        <f t="shared" si="146"/>
        <v>168</v>
      </c>
      <c r="AQ89">
        <f t="shared" si="147"/>
        <v>350</v>
      </c>
      <c r="AS89" s="5">
        <f t="shared" si="175"/>
        <v>2.8571428571428572</v>
      </c>
      <c r="AT89" s="5">
        <f t="shared" si="148"/>
        <v>0.71414284285428498</v>
      </c>
      <c r="AU89" s="5">
        <f t="shared" si="176"/>
        <v>2.1430000142885723</v>
      </c>
      <c r="AV89" s="5">
        <f t="shared" si="149"/>
        <v>1.1669000700233416</v>
      </c>
      <c r="AW89" s="177">
        <f t="shared" si="177"/>
        <v>0.24994999499899972</v>
      </c>
      <c r="AX89" s="177">
        <f t="shared" si="150"/>
        <v>3.0463999999999998</v>
      </c>
      <c r="AY89" s="177">
        <f t="shared" si="151"/>
        <v>0.34281141942674237</v>
      </c>
      <c r="AZ89" s="177">
        <f t="shared" si="178"/>
        <v>8.8865184394798291</v>
      </c>
      <c r="BA89" s="469">
        <f t="shared" si="152"/>
        <v>6.273549245269658</v>
      </c>
      <c r="BB89" s="469">
        <f t="shared" si="153"/>
        <v>1.4128598399999999</v>
      </c>
      <c r="BC89" s="5">
        <f t="shared" si="154"/>
        <v>0.12500833416683338</v>
      </c>
      <c r="BD89" s="469">
        <f t="shared" si="155"/>
        <v>20.281333466693344</v>
      </c>
      <c r="BE89" s="5"/>
      <c r="BF89" s="177">
        <f t="shared" si="179"/>
        <v>0.21987697350368421</v>
      </c>
      <c r="BG89" s="177">
        <f t="shared" si="156"/>
        <v>0.45706665574390626</v>
      </c>
      <c r="BH89" s="177"/>
      <c r="BI89" s="538">
        <f t="shared" si="157"/>
        <v>1.6921059216998945E-2</v>
      </c>
      <c r="BJ89" s="538">
        <f t="shared" si="158"/>
        <v>6.8764909557484821E-2</v>
      </c>
      <c r="BK89" s="538">
        <f t="shared" si="159"/>
        <v>4.3749999999999995E-3</v>
      </c>
      <c r="BL89" s="538">
        <f t="shared" si="160"/>
        <v>4.6565908480000008E-2</v>
      </c>
      <c r="BM89">
        <f t="shared" si="161"/>
        <v>9.2800000000000001E-3</v>
      </c>
      <c r="BN89">
        <f t="shared" si="162"/>
        <v>2.3625000000000002E-5</v>
      </c>
      <c r="BO89" s="538">
        <f t="shared" si="163"/>
        <v>0.14867901152188254</v>
      </c>
      <c r="BP89" s="469">
        <f t="shared" si="180"/>
        <v>148.67901152188253</v>
      </c>
      <c r="BQ89" s="538">
        <f t="shared" si="164"/>
        <v>0.1439795924168949</v>
      </c>
      <c r="BR89" s="538"/>
      <c r="BT89" s="469">
        <f t="shared" si="181"/>
        <v>143.97959241689489</v>
      </c>
      <c r="BU89" s="538">
        <f t="shared" si="165"/>
        <v>4.8345883477139851E-3</v>
      </c>
      <c r="BV89" s="538">
        <f t="shared" si="166"/>
        <v>6.2672978337875553E-3</v>
      </c>
      <c r="BW89" s="538">
        <f t="shared" si="167"/>
        <v>0</v>
      </c>
      <c r="BX89" s="538">
        <f t="shared" si="168"/>
        <v>1.2445165708338039E-2</v>
      </c>
      <c r="BY89" s="538">
        <f t="shared" si="169"/>
        <v>1.0154666666666666E-2</v>
      </c>
      <c r="BZ89" s="469">
        <f t="shared" si="182"/>
        <v>22.599832375004706</v>
      </c>
      <c r="CA89" s="177">
        <f t="shared" si="183"/>
        <v>0.31525843631378209</v>
      </c>
      <c r="CB89" s="5">
        <f t="shared" si="184"/>
        <v>2.6880000000000002</v>
      </c>
      <c r="CC89" s="177">
        <f t="shared" si="185"/>
        <v>0.89502786956265667</v>
      </c>
      <c r="CD89" s="5">
        <f t="shared" si="186"/>
        <v>89.502786956265666</v>
      </c>
      <c r="CG89" s="571">
        <f t="shared" si="170"/>
        <v>-50</v>
      </c>
      <c r="CH89">
        <f t="shared" si="171"/>
        <v>-50</v>
      </c>
    </row>
    <row r="90" spans="5:86" x14ac:dyDescent="0.25">
      <c r="E90" s="174">
        <v>85</v>
      </c>
      <c r="F90" s="221">
        <f t="shared" si="172"/>
        <v>0.17</v>
      </c>
      <c r="G90" s="221"/>
      <c r="H90" s="221">
        <f t="shared" si="120"/>
        <v>2.72</v>
      </c>
      <c r="I90" s="551">
        <f t="shared" si="121"/>
        <v>32</v>
      </c>
      <c r="J90" s="176">
        <f t="shared" si="122"/>
        <v>19.584</v>
      </c>
      <c r="K90" s="451">
        <f t="shared" si="123"/>
        <v>51.584000000000003</v>
      </c>
      <c r="L90" s="451"/>
      <c r="M90" s="221">
        <f t="shared" si="124"/>
        <v>0.37965260545905705</v>
      </c>
      <c r="N90" s="176">
        <f t="shared" si="125"/>
        <v>8.200496277915633</v>
      </c>
      <c r="O90" s="176">
        <f t="shared" si="173"/>
        <v>2.72</v>
      </c>
      <c r="P90" s="221">
        <f t="shared" si="126"/>
        <v>0.51253101736972706</v>
      </c>
      <c r="Q90" s="221">
        <f t="shared" si="127"/>
        <v>16</v>
      </c>
      <c r="R90" s="221">
        <f t="shared" si="128"/>
        <v>0.56947890818858549</v>
      </c>
      <c r="S90" s="176">
        <f t="shared" si="129"/>
        <v>100.47681562186052</v>
      </c>
      <c r="T90" s="176">
        <f t="shared" si="130"/>
        <v>16</v>
      </c>
      <c r="U90" s="221">
        <f t="shared" si="131"/>
        <v>0.49753086419753095</v>
      </c>
      <c r="V90" s="221">
        <f t="shared" si="132"/>
        <v>0.46643518518518529</v>
      </c>
      <c r="W90" s="221">
        <f t="shared" si="133"/>
        <v>0.76214899540062953</v>
      </c>
      <c r="X90" s="201">
        <f t="shared" si="134"/>
        <v>350</v>
      </c>
      <c r="Y90" s="451">
        <f t="shared" si="174"/>
        <v>350</v>
      </c>
      <c r="AA90" s="221">
        <f t="shared" si="135"/>
        <v>1.1570365118752215</v>
      </c>
      <c r="AB90" s="177">
        <f t="shared" si="136"/>
        <v>1.7724211272598367</v>
      </c>
      <c r="AC90" s="177">
        <f t="shared" si="137"/>
        <v>0.4306587513183206</v>
      </c>
      <c r="AD90" s="177"/>
      <c r="AE90" s="177">
        <f t="shared" si="138"/>
        <v>0.4595588235294118</v>
      </c>
      <c r="AF90" s="555">
        <f t="shared" si="139"/>
        <v>2055.1111111111113</v>
      </c>
      <c r="AG90" s="538">
        <f t="shared" si="140"/>
        <v>2.8952205882352939E-2</v>
      </c>
      <c r="AI90" s="177">
        <f t="shared" si="141"/>
        <v>0.76627319095385504</v>
      </c>
      <c r="AJ90" s="177">
        <f t="shared" si="142"/>
        <v>0.76627319095385504</v>
      </c>
      <c r="AK90" s="177">
        <f t="shared" si="143"/>
        <v>1.5108487939692368</v>
      </c>
      <c r="AM90" s="555">
        <f t="shared" si="144"/>
        <v>170</v>
      </c>
      <c r="AN90" s="469">
        <f t="shared" si="145"/>
        <v>350</v>
      </c>
      <c r="AP90">
        <f t="shared" si="146"/>
        <v>170</v>
      </c>
      <c r="AQ90">
        <f t="shared" si="147"/>
        <v>350</v>
      </c>
      <c r="AS90" s="5">
        <f t="shared" si="175"/>
        <v>2.8571428571428572</v>
      </c>
      <c r="AT90" s="5">
        <f t="shared" si="148"/>
        <v>0.71838111651923908</v>
      </c>
      <c r="AU90" s="5">
        <f t="shared" si="176"/>
        <v>2.1387617406236181</v>
      </c>
      <c r="AV90" s="5">
        <f t="shared" si="149"/>
        <v>1.1738253537896064</v>
      </c>
      <c r="AW90" s="177">
        <f t="shared" si="177"/>
        <v>0.25143339078173366</v>
      </c>
      <c r="AX90" s="177">
        <f t="shared" si="150"/>
        <v>3.0826666666666673</v>
      </c>
      <c r="AY90" s="177">
        <f t="shared" si="151"/>
        <v>0.34416391457231305</v>
      </c>
      <c r="AZ90" s="177">
        <f t="shared" si="178"/>
        <v>8.9569723499264811</v>
      </c>
      <c r="BA90" s="469">
        <f t="shared" si="152"/>
        <v>6.273549245269658</v>
      </c>
      <c r="BB90" s="469">
        <f t="shared" si="153"/>
        <v>1.4406281666666665</v>
      </c>
      <c r="BC90" s="5">
        <f t="shared" si="154"/>
        <v>0.12624635274514412</v>
      </c>
      <c r="BD90" s="469">
        <f t="shared" si="155"/>
        <v>20.482749772556392</v>
      </c>
      <c r="BE90" s="5"/>
      <c r="BF90" s="177">
        <f t="shared" si="179"/>
        <v>0.2218372537523168</v>
      </c>
      <c r="BG90" s="177">
        <f t="shared" si="156"/>
        <v>0.45932435688127515</v>
      </c>
      <c r="BH90" s="177"/>
      <c r="BI90" s="538">
        <f t="shared" si="157"/>
        <v>1.7224118503329427E-2</v>
      </c>
      <c r="BJ90" s="538">
        <f t="shared" si="158"/>
        <v>6.9173013493786406E-2</v>
      </c>
      <c r="BK90" s="538">
        <f t="shared" si="159"/>
        <v>4.3749999999999995E-3</v>
      </c>
      <c r="BL90" s="538">
        <f t="shared" si="160"/>
        <v>4.6565908480000008E-2</v>
      </c>
      <c r="BM90">
        <f t="shared" si="161"/>
        <v>9.2800000000000001E-3</v>
      </c>
      <c r="BN90">
        <f t="shared" si="162"/>
        <v>2.3625000000000002E-5</v>
      </c>
      <c r="BO90" s="538">
        <f t="shared" si="163"/>
        <v>0.14944182515880186</v>
      </c>
      <c r="BP90" s="469">
        <f t="shared" si="180"/>
        <v>149.44182515880186</v>
      </c>
      <c r="BQ90" s="538">
        <f t="shared" si="164"/>
        <v>0.1455339263629197</v>
      </c>
      <c r="BR90" s="538"/>
      <c r="BT90" s="469">
        <f t="shared" si="181"/>
        <v>145.53392636291971</v>
      </c>
      <c r="BU90" s="538">
        <f t="shared" si="165"/>
        <v>4.9211767152369801E-3</v>
      </c>
      <c r="BV90" s="538">
        <f t="shared" si="166"/>
        <v>6.3293659447319099E-3</v>
      </c>
      <c r="BW90" s="538">
        <f t="shared" si="167"/>
        <v>0</v>
      </c>
      <c r="BX90" s="538">
        <f t="shared" si="168"/>
        <v>1.2611959089866466E-2</v>
      </c>
      <c r="BY90" s="538">
        <f t="shared" si="169"/>
        <v>1.0275555555555559E-2</v>
      </c>
      <c r="BZ90" s="469">
        <f t="shared" si="182"/>
        <v>22.887514645422026</v>
      </c>
      <c r="CA90" s="177">
        <f t="shared" si="183"/>
        <v>0.31786326616714355</v>
      </c>
      <c r="CB90" s="5">
        <f t="shared" si="184"/>
        <v>2.72</v>
      </c>
      <c r="CC90" s="177">
        <f t="shared" si="185"/>
        <v>0.89536617078615588</v>
      </c>
      <c r="CD90" s="5">
        <f t="shared" si="186"/>
        <v>89.536617078615592</v>
      </c>
      <c r="CG90" s="571">
        <f t="shared" si="170"/>
        <v>-50</v>
      </c>
      <c r="CH90">
        <f t="shared" si="171"/>
        <v>-50</v>
      </c>
    </row>
    <row r="91" spans="5:86" x14ac:dyDescent="0.25">
      <c r="E91" s="174">
        <v>86</v>
      </c>
      <c r="F91" s="221">
        <f t="shared" si="172"/>
        <v>0.17200000000000001</v>
      </c>
      <c r="G91" s="221"/>
      <c r="H91" s="221">
        <f t="shared" si="120"/>
        <v>2.7520000000000002</v>
      </c>
      <c r="I91" s="551">
        <f t="shared" si="121"/>
        <v>32</v>
      </c>
      <c r="J91" s="176">
        <f t="shared" si="122"/>
        <v>19.584</v>
      </c>
      <c r="K91" s="451">
        <f t="shared" si="123"/>
        <v>51.584000000000003</v>
      </c>
      <c r="L91" s="451"/>
      <c r="M91" s="221">
        <f t="shared" si="124"/>
        <v>0.37965260545905705</v>
      </c>
      <c r="N91" s="176">
        <f t="shared" si="125"/>
        <v>8.200496277915633</v>
      </c>
      <c r="O91" s="176">
        <f t="shared" si="173"/>
        <v>2.7520000000000002</v>
      </c>
      <c r="P91" s="221">
        <f t="shared" si="126"/>
        <v>0.51253101736972706</v>
      </c>
      <c r="Q91" s="221">
        <f t="shared" si="127"/>
        <v>16</v>
      </c>
      <c r="R91" s="221">
        <f t="shared" si="128"/>
        <v>0.56947890818858549</v>
      </c>
      <c r="S91" s="176">
        <f t="shared" si="129"/>
        <v>99.000645696437772</v>
      </c>
      <c r="T91" s="176">
        <f t="shared" si="130"/>
        <v>16</v>
      </c>
      <c r="U91" s="221">
        <f t="shared" si="131"/>
        <v>0.50338416848220779</v>
      </c>
      <c r="V91" s="221">
        <f t="shared" si="132"/>
        <v>0.47192265795206978</v>
      </c>
      <c r="W91" s="221">
        <f t="shared" si="133"/>
        <v>0.77111545417004868</v>
      </c>
      <c r="X91" s="201">
        <f t="shared" si="134"/>
        <v>350</v>
      </c>
      <c r="Y91" s="451">
        <f t="shared" si="174"/>
        <v>350</v>
      </c>
      <c r="AA91" s="221">
        <f t="shared" si="135"/>
        <v>1.1570365118752215</v>
      </c>
      <c r="AB91" s="177">
        <f t="shared" si="136"/>
        <v>1.7724211272598367</v>
      </c>
      <c r="AC91" s="177">
        <f t="shared" si="137"/>
        <v>0.4306587513183206</v>
      </c>
      <c r="AD91" s="177"/>
      <c r="AE91" s="177">
        <f t="shared" si="138"/>
        <v>0.4595588235294118</v>
      </c>
      <c r="AF91" s="555">
        <f t="shared" si="139"/>
        <v>2079.2888888888892</v>
      </c>
      <c r="AG91" s="538">
        <f t="shared" si="140"/>
        <v>2.8952205882352939E-2</v>
      </c>
      <c r="AI91" s="177">
        <f t="shared" si="141"/>
        <v>0.77076750040627662</v>
      </c>
      <c r="AJ91" s="177">
        <f t="shared" si="142"/>
        <v>0.77076750040627662</v>
      </c>
      <c r="AK91" s="177">
        <f t="shared" si="143"/>
        <v>1.513845000270851</v>
      </c>
      <c r="AM91" s="555">
        <f t="shared" si="144"/>
        <v>172</v>
      </c>
      <c r="AN91" s="469">
        <f t="shared" si="145"/>
        <v>350</v>
      </c>
      <c r="AP91">
        <f t="shared" si="146"/>
        <v>172</v>
      </c>
      <c r="AQ91">
        <f t="shared" si="147"/>
        <v>350</v>
      </c>
      <c r="AS91" s="5">
        <f t="shared" si="175"/>
        <v>2.8571428571428572</v>
      </c>
      <c r="AT91" s="5">
        <f t="shared" si="148"/>
        <v>0.72259453163088438</v>
      </c>
      <c r="AU91" s="5">
        <f t="shared" si="176"/>
        <v>2.1345483255119726</v>
      </c>
      <c r="AV91" s="5">
        <f t="shared" si="149"/>
        <v>1.1807100190047131</v>
      </c>
      <c r="AW91" s="177">
        <f t="shared" si="177"/>
        <v>0.2529080860708095</v>
      </c>
      <c r="AX91" s="177">
        <f t="shared" si="150"/>
        <v>3.1189333333333331</v>
      </c>
      <c r="AY91" s="177">
        <f t="shared" si="151"/>
        <v>0.345500500243766</v>
      </c>
      <c r="AZ91" s="177">
        <f t="shared" si="178"/>
        <v>9.0272903545227479</v>
      </c>
      <c r="BA91" s="469">
        <f t="shared" si="152"/>
        <v>6.273549245269658</v>
      </c>
      <c r="BB91" s="469">
        <f t="shared" si="153"/>
        <v>1.4686541066666665</v>
      </c>
      <c r="BC91" s="5">
        <f t="shared" si="154"/>
        <v>0.12747996944029835</v>
      </c>
      <c r="BD91" s="469">
        <f t="shared" si="155"/>
        <v>20.683461777114406</v>
      </c>
      <c r="BE91" s="5"/>
      <c r="BF91" s="177">
        <f t="shared" si="179"/>
        <v>0.22379177679202666</v>
      </c>
      <c r="BG91" s="177">
        <f t="shared" si="156"/>
        <v>0.46156304614819904</v>
      </c>
      <c r="BH91" s="177"/>
      <c r="BI91" s="538">
        <f t="shared" si="157"/>
        <v>1.7528965775906298E-2</v>
      </c>
      <c r="BJ91" s="538">
        <f t="shared" si="158"/>
        <v>6.9578723796675415E-2</v>
      </c>
      <c r="BK91" s="538">
        <f t="shared" si="159"/>
        <v>4.3749999999999995E-3</v>
      </c>
      <c r="BL91" s="538">
        <f t="shared" si="160"/>
        <v>4.6565908480000008E-2</v>
      </c>
      <c r="BM91">
        <f t="shared" si="161"/>
        <v>9.2800000000000001E-3</v>
      </c>
      <c r="BN91">
        <f t="shared" si="162"/>
        <v>2.3625000000000002E-5</v>
      </c>
      <c r="BO91" s="538">
        <f t="shared" si="163"/>
        <v>0.15020440863696158</v>
      </c>
      <c r="BP91" s="469">
        <f t="shared" si="180"/>
        <v>150.20440863696157</v>
      </c>
      <c r="BQ91" s="538">
        <f t="shared" si="164"/>
        <v>0.14708545020758898</v>
      </c>
      <c r="BR91" s="538"/>
      <c r="BT91" s="469">
        <f t="shared" si="181"/>
        <v>147.08545020758899</v>
      </c>
      <c r="BU91" s="538">
        <f t="shared" si="165"/>
        <v>5.008275935973229E-3</v>
      </c>
      <c r="BV91" s="538">
        <f t="shared" si="166"/>
        <v>6.3912133670881357E-3</v>
      </c>
      <c r="BW91" s="538">
        <f t="shared" si="167"/>
        <v>0</v>
      </c>
      <c r="BX91" s="538">
        <f t="shared" si="168"/>
        <v>1.2779082020132046E-2</v>
      </c>
      <c r="BY91" s="538">
        <f t="shared" si="169"/>
        <v>1.0396444444444444E-2</v>
      </c>
      <c r="BZ91" s="469">
        <f t="shared" si="182"/>
        <v>23.175526464576489</v>
      </c>
      <c r="CA91" s="177">
        <f t="shared" si="183"/>
        <v>0.32046538530912705</v>
      </c>
      <c r="CB91" s="5">
        <f t="shared" si="184"/>
        <v>2.7520000000000002</v>
      </c>
      <c r="CC91" s="177">
        <f t="shared" si="185"/>
        <v>0.8956976417565452</v>
      </c>
      <c r="CD91" s="5">
        <f t="shared" si="186"/>
        <v>89.569764175654527</v>
      </c>
      <c r="CG91" s="571">
        <f t="shared" si="170"/>
        <v>-50</v>
      </c>
      <c r="CH91">
        <f t="shared" si="171"/>
        <v>-50</v>
      </c>
    </row>
    <row r="92" spans="5:86" x14ac:dyDescent="0.25">
      <c r="E92" s="174">
        <v>87</v>
      </c>
      <c r="F92" s="221">
        <f t="shared" si="172"/>
        <v>0.17400000000000002</v>
      </c>
      <c r="G92" s="221"/>
      <c r="H92" s="221">
        <f t="shared" si="120"/>
        <v>2.7840000000000003</v>
      </c>
      <c r="I92" s="551">
        <f t="shared" si="121"/>
        <v>32</v>
      </c>
      <c r="J92" s="176">
        <f t="shared" si="122"/>
        <v>19.584</v>
      </c>
      <c r="K92" s="451">
        <f t="shared" si="123"/>
        <v>51.584000000000003</v>
      </c>
      <c r="L92" s="451"/>
      <c r="M92" s="221">
        <f t="shared" si="124"/>
        <v>0.37965260545905705</v>
      </c>
      <c r="N92" s="176">
        <f t="shared" si="125"/>
        <v>8.200496277915633</v>
      </c>
      <c r="O92" s="176">
        <f t="shared" si="173"/>
        <v>2.7840000000000003</v>
      </c>
      <c r="P92" s="221">
        <f t="shared" si="126"/>
        <v>0.51253101736972706</v>
      </c>
      <c r="Q92" s="221">
        <f t="shared" si="127"/>
        <v>16</v>
      </c>
      <c r="R92" s="221">
        <f t="shared" si="128"/>
        <v>0.56947890818858549</v>
      </c>
      <c r="S92" s="176">
        <f t="shared" si="129"/>
        <v>97.558447333686402</v>
      </c>
      <c r="T92" s="176">
        <f t="shared" si="130"/>
        <v>16</v>
      </c>
      <c r="U92" s="221">
        <f t="shared" si="131"/>
        <v>0.50923747276688458</v>
      </c>
      <c r="V92" s="221">
        <f t="shared" si="132"/>
        <v>0.47741013071895433</v>
      </c>
      <c r="W92" s="221">
        <f t="shared" si="133"/>
        <v>0.78008191293946794</v>
      </c>
      <c r="X92" s="201">
        <f t="shared" si="134"/>
        <v>350</v>
      </c>
      <c r="Y92" s="451">
        <f t="shared" si="174"/>
        <v>350</v>
      </c>
      <c r="AA92" s="221">
        <f t="shared" si="135"/>
        <v>1.1570365118752215</v>
      </c>
      <c r="AB92" s="177">
        <f t="shared" si="136"/>
        <v>1.7724211272598367</v>
      </c>
      <c r="AC92" s="177">
        <f t="shared" si="137"/>
        <v>0.4306587513183206</v>
      </c>
      <c r="AD92" s="177"/>
      <c r="AE92" s="177">
        <f t="shared" si="138"/>
        <v>0.4595588235294118</v>
      </c>
      <c r="AF92" s="555">
        <f t="shared" si="139"/>
        <v>2103.4666666666672</v>
      </c>
      <c r="AG92" s="538">
        <f t="shared" si="140"/>
        <v>2.8952205882352939E-2</v>
      </c>
      <c r="AI92" s="177">
        <f t="shared" si="141"/>
        <v>0.77523575523222366</v>
      </c>
      <c r="AJ92" s="177">
        <f t="shared" si="142"/>
        <v>0.77523575523222366</v>
      </c>
      <c r="AK92" s="177">
        <f t="shared" si="143"/>
        <v>1.5168238368214824</v>
      </c>
      <c r="AM92" s="555">
        <f t="shared" si="144"/>
        <v>174.00000000000003</v>
      </c>
      <c r="AN92" s="469">
        <f t="shared" si="145"/>
        <v>350</v>
      </c>
      <c r="AP92">
        <f t="shared" si="146"/>
        <v>174.00000000000003</v>
      </c>
      <c r="AQ92">
        <f t="shared" si="147"/>
        <v>350</v>
      </c>
      <c r="AS92" s="5">
        <f t="shared" si="175"/>
        <v>2.8571428571428572</v>
      </c>
      <c r="AT92" s="5">
        <f t="shared" si="148"/>
        <v>0.72678352053020967</v>
      </c>
      <c r="AU92" s="5">
        <f t="shared" si="176"/>
        <v>2.1303593366126474</v>
      </c>
      <c r="AV92" s="5">
        <f t="shared" si="149"/>
        <v>1.1875547721081858</v>
      </c>
      <c r="AW92" s="177">
        <f t="shared" si="177"/>
        <v>0.25437423218557337</v>
      </c>
      <c r="AX92" s="177">
        <f t="shared" si="150"/>
        <v>3.1551999999999998</v>
      </c>
      <c r="AY92" s="177">
        <f t="shared" si="151"/>
        <v>0.34682145313933421</v>
      </c>
      <c r="AZ92" s="177">
        <f t="shared" si="178"/>
        <v>9.0974764433975484</v>
      </c>
      <c r="BA92" s="469">
        <f t="shared" si="152"/>
        <v>6.273549245269658</v>
      </c>
      <c r="BB92" s="469">
        <f t="shared" si="153"/>
        <v>1.4969376599999999</v>
      </c>
      <c r="BC92" s="5">
        <f t="shared" si="154"/>
        <v>0.12870920992034746</v>
      </c>
      <c r="BD92" s="469">
        <f t="shared" si="155"/>
        <v>20.883473587255594</v>
      </c>
      <c r="BE92" s="5"/>
      <c r="BF92" s="177">
        <f t="shared" si="179"/>
        <v>0.22574062618544796</v>
      </c>
      <c r="BG92" s="177">
        <f t="shared" si="156"/>
        <v>0.46378304510209001</v>
      </c>
      <c r="BH92" s="177"/>
      <c r="BI92" s="538">
        <f t="shared" si="157"/>
        <v>1.7835590608709352E-2</v>
      </c>
      <c r="BJ92" s="538">
        <f t="shared" si="158"/>
        <v>6.9982082096323311E-2</v>
      </c>
      <c r="BK92" s="538">
        <f t="shared" si="159"/>
        <v>4.3749999999999995E-3</v>
      </c>
      <c r="BL92" s="538">
        <f t="shared" si="160"/>
        <v>4.6565908480000008E-2</v>
      </c>
      <c r="BM92">
        <f t="shared" si="161"/>
        <v>9.2800000000000001E-3</v>
      </c>
      <c r="BN92">
        <f t="shared" si="162"/>
        <v>2.3625000000000002E-5</v>
      </c>
      <c r="BO92" s="538">
        <f t="shared" si="163"/>
        <v>0.15096679227823534</v>
      </c>
      <c r="BP92" s="469">
        <f t="shared" si="180"/>
        <v>150.96679227823535</v>
      </c>
      <c r="BQ92" s="538">
        <f t="shared" si="164"/>
        <v>0.14863418033703191</v>
      </c>
      <c r="BR92" s="538"/>
      <c r="BT92" s="469">
        <f t="shared" si="181"/>
        <v>148.63418033703192</v>
      </c>
      <c r="BU92" s="538">
        <f t="shared" si="165"/>
        <v>5.095883031059816E-3</v>
      </c>
      <c r="BV92" s="538">
        <f t="shared" si="166"/>
        <v>6.4528413877250178E-3</v>
      </c>
      <c r="BW92" s="538">
        <f t="shared" si="167"/>
        <v>0</v>
      </c>
      <c r="BX92" s="538">
        <f t="shared" si="168"/>
        <v>1.2946532624035317E-2</v>
      </c>
      <c r="BY92" s="538">
        <f t="shared" si="169"/>
        <v>1.0517333333333333E-2</v>
      </c>
      <c r="BZ92" s="469">
        <f t="shared" si="182"/>
        <v>23.46386595736865</v>
      </c>
      <c r="CA92" s="177">
        <f t="shared" si="183"/>
        <v>0.3230648385726359</v>
      </c>
      <c r="CB92" s="5">
        <f t="shared" si="184"/>
        <v>2.7840000000000003</v>
      </c>
      <c r="CC92" s="177">
        <f t="shared" si="185"/>
        <v>0.89602249860963645</v>
      </c>
      <c r="CD92" s="5">
        <f t="shared" si="186"/>
        <v>89.602249860963639</v>
      </c>
      <c r="CG92" s="571">
        <f t="shared" si="170"/>
        <v>-50</v>
      </c>
      <c r="CH92">
        <f t="shared" si="171"/>
        <v>-50</v>
      </c>
    </row>
    <row r="93" spans="5:86" x14ac:dyDescent="0.25">
      <c r="E93" s="174">
        <v>88</v>
      </c>
      <c r="F93" s="221">
        <f t="shared" si="172"/>
        <v>0.17600000000000002</v>
      </c>
      <c r="G93" s="221"/>
      <c r="H93" s="221">
        <f t="shared" si="120"/>
        <v>2.8160000000000003</v>
      </c>
      <c r="I93" s="551">
        <f t="shared" si="121"/>
        <v>32</v>
      </c>
      <c r="J93" s="176">
        <f t="shared" si="122"/>
        <v>19.584</v>
      </c>
      <c r="K93" s="451">
        <f t="shared" si="123"/>
        <v>51.584000000000003</v>
      </c>
      <c r="L93" s="451"/>
      <c r="M93" s="221">
        <f t="shared" si="124"/>
        <v>0.37965260545905705</v>
      </c>
      <c r="N93" s="176">
        <f t="shared" si="125"/>
        <v>8.200496277915633</v>
      </c>
      <c r="O93" s="176">
        <f t="shared" si="173"/>
        <v>2.8160000000000003</v>
      </c>
      <c r="P93" s="221">
        <f t="shared" si="126"/>
        <v>0.51253101736972706</v>
      </c>
      <c r="Q93" s="221">
        <f t="shared" si="127"/>
        <v>16</v>
      </c>
      <c r="R93" s="221">
        <f t="shared" si="128"/>
        <v>0.56947890818858549</v>
      </c>
      <c r="S93" s="176">
        <f t="shared" si="129"/>
        <v>96.149062743926223</v>
      </c>
      <c r="T93" s="176">
        <f t="shared" si="130"/>
        <v>16</v>
      </c>
      <c r="U93" s="221">
        <f t="shared" si="131"/>
        <v>0.51509077705156148</v>
      </c>
      <c r="V93" s="221">
        <f t="shared" si="132"/>
        <v>0.48289760348583888</v>
      </c>
      <c r="W93" s="221">
        <f t="shared" si="133"/>
        <v>0.78904837170888709</v>
      </c>
      <c r="X93" s="201">
        <f t="shared" si="134"/>
        <v>350</v>
      </c>
      <c r="Y93" s="451">
        <f t="shared" si="174"/>
        <v>350</v>
      </c>
      <c r="AA93" s="221">
        <f t="shared" si="135"/>
        <v>1.1570365118752215</v>
      </c>
      <c r="AB93" s="177">
        <f t="shared" si="136"/>
        <v>1.7724211272598367</v>
      </c>
      <c r="AC93" s="177">
        <f t="shared" si="137"/>
        <v>0.4306587513183206</v>
      </c>
      <c r="AD93" s="177"/>
      <c r="AE93" s="177">
        <f t="shared" si="138"/>
        <v>0.4595588235294118</v>
      </c>
      <c r="AF93" s="555">
        <f t="shared" si="139"/>
        <v>2127.6444444444451</v>
      </c>
      <c r="AG93" s="538">
        <f t="shared" si="140"/>
        <v>2.8952205882352939E-2</v>
      </c>
      <c r="AI93" s="177">
        <f t="shared" si="141"/>
        <v>0.77967840338078664</v>
      </c>
      <c r="AJ93" s="177">
        <f t="shared" si="142"/>
        <v>0.77967840338078664</v>
      </c>
      <c r="AK93" s="177">
        <f t="shared" si="143"/>
        <v>1.5197856022538578</v>
      </c>
      <c r="AM93" s="555">
        <f t="shared" si="144"/>
        <v>176.00000000000003</v>
      </c>
      <c r="AN93" s="469">
        <f t="shared" si="145"/>
        <v>350</v>
      </c>
      <c r="AP93">
        <f t="shared" si="146"/>
        <v>176.00000000000003</v>
      </c>
      <c r="AQ93">
        <f t="shared" si="147"/>
        <v>350</v>
      </c>
      <c r="AS93" s="5">
        <f t="shared" si="175"/>
        <v>2.8571428571428572</v>
      </c>
      <c r="AT93" s="5">
        <f t="shared" si="148"/>
        <v>0.73094850316948756</v>
      </c>
      <c r="AU93" s="5">
        <f t="shared" si="176"/>
        <v>2.1261943539733696</v>
      </c>
      <c r="AV93" s="5">
        <f t="shared" si="149"/>
        <v>1.1943602992965481</v>
      </c>
      <c r="AW93" s="177">
        <f t="shared" si="177"/>
        <v>0.25583197610932062</v>
      </c>
      <c r="AX93" s="177">
        <f t="shared" si="150"/>
        <v>3.191466666666666</v>
      </c>
      <c r="AY93" s="177">
        <f t="shared" si="151"/>
        <v>0.34812704202847194</v>
      </c>
      <c r="AZ93" s="177">
        <f t="shared" si="178"/>
        <v>9.1675344956558948</v>
      </c>
      <c r="BA93" s="469">
        <f t="shared" si="152"/>
        <v>6.273549245269658</v>
      </c>
      <c r="BB93" s="469">
        <f t="shared" si="153"/>
        <v>1.5254788266666668</v>
      </c>
      <c r="BC93" s="5">
        <f t="shared" si="154"/>
        <v>0.12993409940948369</v>
      </c>
      <c r="BD93" s="469">
        <f t="shared" si="155"/>
        <v>21.082789238850726</v>
      </c>
      <c r="BE93" s="5"/>
      <c r="BF93" s="177">
        <f t="shared" si="179"/>
        <v>0.2276838833370764</v>
      </c>
      <c r="BG93" s="177">
        <f t="shared" si="156"/>
        <v>0.46598466610173772</v>
      </c>
      <c r="BH93" s="177"/>
      <c r="BI93" s="538">
        <f t="shared" si="157"/>
        <v>1.8143982756007995E-2</v>
      </c>
      <c r="BJ93" s="538">
        <f t="shared" si="158"/>
        <v>7.0383128829990371E-2</v>
      </c>
      <c r="BK93" s="538">
        <f t="shared" si="159"/>
        <v>4.3749999999999995E-3</v>
      </c>
      <c r="BL93" s="538">
        <f t="shared" si="160"/>
        <v>4.6565908480000008E-2</v>
      </c>
      <c r="BM93">
        <f t="shared" si="161"/>
        <v>9.2800000000000001E-3</v>
      </c>
      <c r="BN93">
        <f t="shared" si="162"/>
        <v>2.3625000000000002E-5</v>
      </c>
      <c r="BO93" s="538">
        <f t="shared" si="163"/>
        <v>0.15172900541854209</v>
      </c>
      <c r="BP93" s="469">
        <f t="shared" si="180"/>
        <v>151.7290054185421</v>
      </c>
      <c r="BQ93" s="538">
        <f t="shared" si="164"/>
        <v>0.15018013285402415</v>
      </c>
      <c r="BR93" s="538"/>
      <c r="BT93" s="469">
        <f t="shared" si="181"/>
        <v>150.18013285402415</v>
      </c>
      <c r="BU93" s="538">
        <f t="shared" si="165"/>
        <v>5.1839950731451421E-3</v>
      </c>
      <c r="BV93" s="538">
        <f t="shared" si="166"/>
        <v>6.5142512712584397E-3</v>
      </c>
      <c r="BW93" s="538">
        <f t="shared" si="167"/>
        <v>0</v>
      </c>
      <c r="BX93" s="538">
        <f t="shared" si="168"/>
        <v>1.3114309059172879E-2</v>
      </c>
      <c r="BY93" s="538">
        <f t="shared" si="169"/>
        <v>1.0638222222222223E-2</v>
      </c>
      <c r="BZ93" s="469">
        <f t="shared" si="182"/>
        <v>23.7525312813951</v>
      </c>
      <c r="CA93" s="177">
        <f t="shared" si="183"/>
        <v>0.32566166955396136</v>
      </c>
      <c r="CB93" s="5">
        <f t="shared" si="184"/>
        <v>2.8160000000000003</v>
      </c>
      <c r="CC93" s="177">
        <f t="shared" si="185"/>
        <v>0.89634094825997057</v>
      </c>
      <c r="CD93" s="5">
        <f t="shared" si="186"/>
        <v>89.634094825997053</v>
      </c>
      <c r="CG93" s="571">
        <f t="shared" si="170"/>
        <v>-50</v>
      </c>
      <c r="CH93">
        <f t="shared" si="171"/>
        <v>-50</v>
      </c>
    </row>
    <row r="94" spans="5:86" x14ac:dyDescent="0.25">
      <c r="E94" s="174">
        <v>89</v>
      </c>
      <c r="F94" s="221">
        <f t="shared" si="172"/>
        <v>0.17800000000000002</v>
      </c>
      <c r="G94" s="221"/>
      <c r="H94" s="221">
        <f t="shared" si="120"/>
        <v>2.8480000000000003</v>
      </c>
      <c r="I94" s="551">
        <f t="shared" si="121"/>
        <v>32</v>
      </c>
      <c r="J94" s="176">
        <f t="shared" si="122"/>
        <v>19.584</v>
      </c>
      <c r="K94" s="451">
        <f t="shared" si="123"/>
        <v>51.584000000000003</v>
      </c>
      <c r="L94" s="451"/>
      <c r="M94" s="221">
        <f t="shared" si="124"/>
        <v>0.37965260545905705</v>
      </c>
      <c r="N94" s="176">
        <f t="shared" si="125"/>
        <v>8.200496277915633</v>
      </c>
      <c r="O94" s="176">
        <f t="shared" si="173"/>
        <v>2.8480000000000003</v>
      </c>
      <c r="P94" s="221">
        <f t="shared" si="126"/>
        <v>0.51253101736972706</v>
      </c>
      <c r="Q94" s="221">
        <f t="shared" si="127"/>
        <v>16</v>
      </c>
      <c r="R94" s="221">
        <f t="shared" si="128"/>
        <v>0.56947890818858549</v>
      </c>
      <c r="S94" s="176">
        <f t="shared" si="129"/>
        <v>94.771386176905906</v>
      </c>
      <c r="T94" s="176">
        <f t="shared" si="130"/>
        <v>16</v>
      </c>
      <c r="U94" s="221">
        <f t="shared" si="131"/>
        <v>0.52094408133623826</v>
      </c>
      <c r="V94" s="221">
        <f t="shared" si="132"/>
        <v>0.48838507625272343</v>
      </c>
      <c r="W94" s="221">
        <f t="shared" si="133"/>
        <v>0.79801483047830635</v>
      </c>
      <c r="X94" s="201">
        <f t="shared" si="134"/>
        <v>350</v>
      </c>
      <c r="Y94" s="451">
        <f t="shared" si="174"/>
        <v>350</v>
      </c>
      <c r="AA94" s="221">
        <f t="shared" si="135"/>
        <v>1.1570365118752215</v>
      </c>
      <c r="AB94" s="177">
        <f t="shared" si="136"/>
        <v>1.7724211272598367</v>
      </c>
      <c r="AC94" s="177">
        <f t="shared" si="137"/>
        <v>0.4306587513183206</v>
      </c>
      <c r="AD94" s="177"/>
      <c r="AE94" s="177">
        <f t="shared" si="138"/>
        <v>0.4595588235294118</v>
      </c>
      <c r="AF94" s="555">
        <f t="shared" si="139"/>
        <v>2151.8222222222225</v>
      </c>
      <c r="AG94" s="538">
        <f t="shared" si="140"/>
        <v>2.8952205882352939E-2</v>
      </c>
      <c r="AI94" s="177">
        <f t="shared" si="141"/>
        <v>0.7840958801105572</v>
      </c>
      <c r="AJ94" s="177">
        <f t="shared" si="142"/>
        <v>0.7840958801105572</v>
      </c>
      <c r="AK94" s="177">
        <f t="shared" si="143"/>
        <v>1.5227305867403715</v>
      </c>
      <c r="AM94" s="555">
        <f t="shared" si="144"/>
        <v>178.00000000000003</v>
      </c>
      <c r="AN94" s="469">
        <f t="shared" si="145"/>
        <v>350</v>
      </c>
      <c r="AP94">
        <f t="shared" si="146"/>
        <v>178.00000000000003</v>
      </c>
      <c r="AQ94">
        <f t="shared" si="147"/>
        <v>350</v>
      </c>
      <c r="AS94" s="5">
        <f t="shared" si="175"/>
        <v>2.8571428571428572</v>
      </c>
      <c r="AT94" s="5">
        <f t="shared" si="148"/>
        <v>0.73508988760364735</v>
      </c>
      <c r="AU94" s="5">
        <f t="shared" si="176"/>
        <v>2.1220529695392099</v>
      </c>
      <c r="AV94" s="5">
        <f t="shared" si="149"/>
        <v>1.2011272673262212</v>
      </c>
      <c r="AW94" s="177">
        <f t="shared" si="177"/>
        <v>0.25728146066127655</v>
      </c>
      <c r="AX94" s="177">
        <f t="shared" si="150"/>
        <v>3.227733333333334</v>
      </c>
      <c r="AY94" s="177">
        <f t="shared" si="151"/>
        <v>0.3494175280663343</v>
      </c>
      <c r="AZ94" s="177">
        <f t="shared" si="178"/>
        <v>9.237468283848008</v>
      </c>
      <c r="BA94" s="469">
        <f t="shared" si="152"/>
        <v>6.273549245269658</v>
      </c>
      <c r="BB94" s="469">
        <f t="shared" si="153"/>
        <v>1.5542776066666666</v>
      </c>
      <c r="BC94" s="5">
        <f t="shared" si="154"/>
        <v>0.13115466270068729</v>
      </c>
      <c r="BD94" s="469">
        <f t="shared" si="155"/>
        <v>21.281412698776634</v>
      </c>
      <c r="BE94" s="5"/>
      <c r="BF94" s="177">
        <f t="shared" si="179"/>
        <v>0.22962162757286633</v>
      </c>
      <c r="BG94" s="177">
        <f t="shared" si="156"/>
        <v>0.46816821267166581</v>
      </c>
      <c r="BH94" s="177"/>
      <c r="BI94" s="538">
        <f t="shared" si="157"/>
        <v>1.8454132147224245E-2</v>
      </c>
      <c r="BJ94" s="538">
        <f t="shared" si="158"/>
        <v>7.0781903289340226E-2</v>
      </c>
      <c r="BK94" s="538">
        <f t="shared" si="159"/>
        <v>4.3749999999999995E-3</v>
      </c>
      <c r="BL94" s="538">
        <f t="shared" si="160"/>
        <v>4.6565908480000008E-2</v>
      </c>
      <c r="BM94">
        <f t="shared" si="161"/>
        <v>9.2800000000000001E-3</v>
      </c>
      <c r="BN94">
        <f t="shared" si="162"/>
        <v>2.3625000000000002E-5</v>
      </c>
      <c r="BO94" s="538">
        <f t="shared" si="163"/>
        <v>0.1524910764492742</v>
      </c>
      <c r="BP94" s="469">
        <f t="shared" si="180"/>
        <v>152.4910764492742</v>
      </c>
      <c r="BQ94" s="538">
        <f t="shared" si="164"/>
        <v>0.15172332358606158</v>
      </c>
      <c r="BR94" s="538"/>
      <c r="BT94" s="469">
        <f t="shared" si="181"/>
        <v>151.72332358606158</v>
      </c>
      <c r="BU94" s="538">
        <f t="shared" si="165"/>
        <v>5.272609184921213E-3</v>
      </c>
      <c r="BV94" s="538">
        <f t="shared" si="166"/>
        <v>6.5754442606854625E-3</v>
      </c>
      <c r="BW94" s="538">
        <f t="shared" si="167"/>
        <v>0</v>
      </c>
      <c r="BX94" s="538">
        <f t="shared" si="168"/>
        <v>1.3282409514905001E-2</v>
      </c>
      <c r="BY94" s="538">
        <f t="shared" si="169"/>
        <v>1.0759111111111112E-2</v>
      </c>
      <c r="BZ94" s="469">
        <f t="shared" si="182"/>
        <v>24.041520626016112</v>
      </c>
      <c r="CA94" s="177">
        <f t="shared" si="183"/>
        <v>0.3282559206613519</v>
      </c>
      <c r="CB94" s="5">
        <f t="shared" si="184"/>
        <v>2.8480000000000003</v>
      </c>
      <c r="CC94" s="177">
        <f t="shared" si="185"/>
        <v>0.89665318889259926</v>
      </c>
      <c r="CD94" s="5">
        <f t="shared" si="186"/>
        <v>89.665318889259922</v>
      </c>
      <c r="CG94" s="571">
        <f t="shared" si="170"/>
        <v>-50</v>
      </c>
      <c r="CH94">
        <f t="shared" si="171"/>
        <v>-50</v>
      </c>
    </row>
    <row r="95" spans="5:86" x14ac:dyDescent="0.25">
      <c r="E95" s="174">
        <v>90</v>
      </c>
      <c r="F95" s="221">
        <f t="shared" si="172"/>
        <v>0.18000000000000002</v>
      </c>
      <c r="G95" s="221"/>
      <c r="H95" s="221">
        <f t="shared" si="120"/>
        <v>2.8800000000000003</v>
      </c>
      <c r="I95" s="551">
        <f t="shared" si="121"/>
        <v>32</v>
      </c>
      <c r="J95" s="176">
        <f t="shared" si="122"/>
        <v>19.584</v>
      </c>
      <c r="K95" s="451">
        <f t="shared" si="123"/>
        <v>51.584000000000003</v>
      </c>
      <c r="L95" s="451"/>
      <c r="M95" s="221">
        <f t="shared" si="124"/>
        <v>0.37965260545905705</v>
      </c>
      <c r="N95" s="176">
        <f t="shared" si="125"/>
        <v>8.200496277915633</v>
      </c>
      <c r="O95" s="176">
        <f t="shared" si="173"/>
        <v>2.8800000000000003</v>
      </c>
      <c r="P95" s="221">
        <f t="shared" si="126"/>
        <v>0.51253101736972706</v>
      </c>
      <c r="Q95" s="221">
        <f t="shared" si="127"/>
        <v>16</v>
      </c>
      <c r="R95" s="221">
        <f t="shared" si="128"/>
        <v>0.56947890818858549</v>
      </c>
      <c r="S95" s="176">
        <f t="shared" si="129"/>
        <v>93.424361030780986</v>
      </c>
      <c r="T95" s="176">
        <f t="shared" si="130"/>
        <v>16</v>
      </c>
      <c r="U95" s="221">
        <f t="shared" si="131"/>
        <v>0.52679738562091516</v>
      </c>
      <c r="V95" s="221">
        <f t="shared" si="132"/>
        <v>0.49387254901960798</v>
      </c>
      <c r="W95" s="221">
        <f t="shared" si="133"/>
        <v>0.80698128924772539</v>
      </c>
      <c r="X95" s="201">
        <f t="shared" si="134"/>
        <v>350</v>
      </c>
      <c r="Y95" s="451">
        <f t="shared" si="174"/>
        <v>350</v>
      </c>
      <c r="AA95" s="221">
        <f t="shared" si="135"/>
        <v>1.1570365118752215</v>
      </c>
      <c r="AB95" s="177">
        <f t="shared" si="136"/>
        <v>1.7724211272598367</v>
      </c>
      <c r="AC95" s="177">
        <f t="shared" si="137"/>
        <v>0.4306587513183206</v>
      </c>
      <c r="AD95" s="177"/>
      <c r="AE95" s="177">
        <f t="shared" si="138"/>
        <v>0.4595588235294118</v>
      </c>
      <c r="AF95" s="555">
        <f t="shared" si="139"/>
        <v>2176.0000000000005</v>
      </c>
      <c r="AG95" s="538">
        <f t="shared" si="140"/>
        <v>2.8952205882352939E-2</v>
      </c>
      <c r="AI95" s="177">
        <f t="shared" si="141"/>
        <v>0.78848860848732982</v>
      </c>
      <c r="AJ95" s="177">
        <f t="shared" si="142"/>
        <v>0.78848860848732982</v>
      </c>
      <c r="AK95" s="177">
        <f t="shared" si="143"/>
        <v>1.5256590723248866</v>
      </c>
      <c r="AM95" s="555">
        <f t="shared" si="144"/>
        <v>180.00000000000003</v>
      </c>
      <c r="AN95" s="469">
        <f t="shared" si="145"/>
        <v>350</v>
      </c>
      <c r="AP95">
        <f t="shared" si="146"/>
        <v>180.00000000000003</v>
      </c>
      <c r="AQ95">
        <f t="shared" si="147"/>
        <v>350</v>
      </c>
      <c r="AS95" s="5">
        <f t="shared" si="175"/>
        <v>2.8571428571428572</v>
      </c>
      <c r="AT95" s="5">
        <f t="shared" si="148"/>
        <v>0.73920807045687165</v>
      </c>
      <c r="AU95" s="5">
        <f t="shared" si="176"/>
        <v>2.1179347866859857</v>
      </c>
      <c r="AV95" s="5">
        <f t="shared" si="149"/>
        <v>1.2078563242759341</v>
      </c>
      <c r="AW95" s="177">
        <f t="shared" si="177"/>
        <v>0.25872282465990509</v>
      </c>
      <c r="AX95" s="177">
        <f t="shared" si="150"/>
        <v>3.2639999999999998</v>
      </c>
      <c r="AY95" s="177">
        <f t="shared" si="151"/>
        <v>0.35069316509239784</v>
      </c>
      <c r="AZ95" s="177">
        <f t="shared" si="178"/>
        <v>9.3072814782119497</v>
      </c>
      <c r="BA95" s="469">
        <f t="shared" si="152"/>
        <v>6.273549245269658</v>
      </c>
      <c r="BB95" s="469">
        <f t="shared" si="153"/>
        <v>1.5833339999999998</v>
      </c>
      <c r="BC95" s="5">
        <f t="shared" si="154"/>
        <v>0.1323709241678741</v>
      </c>
      <c r="BD95" s="469">
        <f t="shared" si="155"/>
        <v>21.479347866859857</v>
      </c>
      <c r="BE95" s="5"/>
      <c r="BF95" s="177">
        <f t="shared" si="179"/>
        <v>0.23155393621603246</v>
      </c>
      <c r="BG95" s="177">
        <f t="shared" si="156"/>
        <v>0.47033397984812642</v>
      </c>
      <c r="BH95" s="177"/>
      <c r="BI95" s="538">
        <f t="shared" si="157"/>
        <v>1.8766028881998451E-2</v>
      </c>
      <c r="BJ95" s="538">
        <f t="shared" si="158"/>
        <v>7.1178443665368255E-2</v>
      </c>
      <c r="BK95" s="538">
        <f t="shared" si="159"/>
        <v>4.3749999999999995E-3</v>
      </c>
      <c r="BL95" s="538">
        <f t="shared" si="160"/>
        <v>4.6565908480000008E-2</v>
      </c>
      <c r="BM95">
        <f t="shared" si="161"/>
        <v>9.2800000000000001E-3</v>
      </c>
      <c r="BN95">
        <f t="shared" si="162"/>
        <v>2.3625000000000002E-5</v>
      </c>
      <c r="BO95" s="538">
        <f t="shared" si="163"/>
        <v>0.15325303285657155</v>
      </c>
      <c r="BP95" s="469">
        <f t="shared" si="180"/>
        <v>153.25303285657154</v>
      </c>
      <c r="BQ95" s="538">
        <f t="shared" si="164"/>
        <v>0.15326376809311515</v>
      </c>
      <c r="BR95" s="538"/>
      <c r="BT95" s="469">
        <f t="shared" si="181"/>
        <v>153.26376809311515</v>
      </c>
      <c r="BU95" s="538">
        <f t="shared" si="165"/>
        <v>5.3617225377138433E-3</v>
      </c>
      <c r="BV95" s="538">
        <f t="shared" si="166"/>
        <v>6.6364215779933329E-3</v>
      </c>
      <c r="BW95" s="538">
        <f t="shared" si="167"/>
        <v>0</v>
      </c>
      <c r="BX95" s="538">
        <f t="shared" si="168"/>
        <v>1.3450832211459981E-2</v>
      </c>
      <c r="BY95" s="538">
        <f t="shared" si="169"/>
        <v>1.0879999999999999E-2</v>
      </c>
      <c r="BZ95" s="469">
        <f t="shared" si="182"/>
        <v>24.330832211459978</v>
      </c>
      <c r="CA95" s="177">
        <f t="shared" si="183"/>
        <v>0.33084763316114668</v>
      </c>
      <c r="CB95" s="5">
        <f t="shared" si="184"/>
        <v>2.8800000000000003</v>
      </c>
      <c r="CC95" s="177">
        <f t="shared" si="185"/>
        <v>0.89695941042352734</v>
      </c>
      <c r="CD95" s="5">
        <f t="shared" si="186"/>
        <v>89.695941042352729</v>
      </c>
      <c r="CG95" s="571">
        <f t="shared" si="170"/>
        <v>-50</v>
      </c>
      <c r="CH95">
        <f t="shared" si="171"/>
        <v>-50</v>
      </c>
    </row>
    <row r="96" spans="5:86" x14ac:dyDescent="0.25">
      <c r="E96" s="174">
        <v>91</v>
      </c>
      <c r="F96" s="221">
        <f t="shared" si="172"/>
        <v>0.18200000000000002</v>
      </c>
      <c r="G96" s="221"/>
      <c r="H96" s="221">
        <f t="shared" si="120"/>
        <v>2.9120000000000004</v>
      </c>
      <c r="I96" s="551">
        <f t="shared" si="121"/>
        <v>32</v>
      </c>
      <c r="J96" s="176">
        <f t="shared" si="122"/>
        <v>19.584</v>
      </c>
      <c r="K96" s="451">
        <f t="shared" si="123"/>
        <v>51.584000000000003</v>
      </c>
      <c r="L96" s="451"/>
      <c r="M96" s="221">
        <f t="shared" si="124"/>
        <v>0.37965260545905705</v>
      </c>
      <c r="N96" s="176">
        <f t="shared" si="125"/>
        <v>8.200496277915633</v>
      </c>
      <c r="O96" s="176">
        <f t="shared" si="173"/>
        <v>2.9120000000000004</v>
      </c>
      <c r="P96" s="221">
        <f t="shared" si="126"/>
        <v>0.51253101736972706</v>
      </c>
      <c r="Q96" s="221">
        <f t="shared" si="127"/>
        <v>16</v>
      </c>
      <c r="R96" s="221">
        <f t="shared" si="128"/>
        <v>0.56947890818858549</v>
      </c>
      <c r="S96" s="176">
        <f t="shared" si="129"/>
        <v>92.106977151709401</v>
      </c>
      <c r="T96" s="221">
        <f t="shared" si="130"/>
        <v>16</v>
      </c>
      <c r="U96" s="221">
        <f t="shared" si="131"/>
        <v>0.53265068990559195</v>
      </c>
      <c r="V96" s="221">
        <f t="shared" si="132"/>
        <v>0.49936002178649253</v>
      </c>
      <c r="W96" s="221">
        <f t="shared" si="133"/>
        <v>0.81594774801714465</v>
      </c>
      <c r="X96" s="201">
        <f t="shared" si="134"/>
        <v>350</v>
      </c>
      <c r="Y96" s="451">
        <f t="shared" si="174"/>
        <v>350</v>
      </c>
      <c r="AA96" s="221">
        <f t="shared" si="135"/>
        <v>1.1570365118752215</v>
      </c>
      <c r="AB96" s="177">
        <f t="shared" si="136"/>
        <v>1.7724211272598367</v>
      </c>
      <c r="AC96" s="177">
        <f t="shared" si="137"/>
        <v>0.4306587513183206</v>
      </c>
      <c r="AD96" s="177"/>
      <c r="AE96" s="177">
        <f t="shared" si="138"/>
        <v>0.4595588235294118</v>
      </c>
      <c r="AF96" s="555">
        <f t="shared" si="139"/>
        <v>2200.1777777777784</v>
      </c>
      <c r="AG96" s="538">
        <f t="shared" si="140"/>
        <v>2.8952205882352939E-2</v>
      </c>
      <c r="AI96" s="177">
        <f t="shared" si="141"/>
        <v>0.79285699985698699</v>
      </c>
      <c r="AJ96" s="177">
        <f t="shared" si="142"/>
        <v>0.79285699985698699</v>
      </c>
      <c r="AK96" s="177">
        <f t="shared" si="143"/>
        <v>1.5285713332379913</v>
      </c>
      <c r="AM96" s="555">
        <f t="shared" si="144"/>
        <v>182.00000000000003</v>
      </c>
      <c r="AN96" s="469">
        <f t="shared" si="145"/>
        <v>350</v>
      </c>
      <c r="AP96">
        <f t="shared" si="146"/>
        <v>182.00000000000003</v>
      </c>
      <c r="AQ96">
        <f t="shared" si="147"/>
        <v>350</v>
      </c>
      <c r="AS96" s="5">
        <f t="shared" si="175"/>
        <v>2.8571428571428572</v>
      </c>
      <c r="AT96" s="5">
        <f t="shared" si="148"/>
        <v>0.7433034373659253</v>
      </c>
      <c r="AU96" s="5">
        <f t="shared" si="176"/>
        <v>2.1138394197769319</v>
      </c>
      <c r="AV96" s="5">
        <f t="shared" si="149"/>
        <v>1.21454810027112</v>
      </c>
      <c r="AW96" s="177">
        <f t="shared" si="177"/>
        <v>0.26015620307807386</v>
      </c>
      <c r="AX96" s="177">
        <f t="shared" si="150"/>
        <v>3.3002666666666673</v>
      </c>
      <c r="AY96" s="177">
        <f t="shared" si="151"/>
        <v>0.35195419991419219</v>
      </c>
      <c r="AZ96" s="177">
        <f t="shared" si="178"/>
        <v>9.3769776507036582</v>
      </c>
      <c r="BA96" s="469">
        <f t="shared" si="152"/>
        <v>6.273549245269658</v>
      </c>
      <c r="BB96" s="469">
        <f t="shared" si="153"/>
        <v>1.6126480066666669</v>
      </c>
      <c r="BC96" s="5">
        <f t="shared" si="154"/>
        <v>0.13358290777757001</v>
      </c>
      <c r="BD96" s="469">
        <f t="shared" si="155"/>
        <v>21.676598577744535</v>
      </c>
      <c r="BE96" s="5"/>
      <c r="BF96" s="177">
        <f t="shared" si="179"/>
        <v>0.23348088465927605</v>
      </c>
      <c r="BG96" s="177">
        <f t="shared" si="156"/>
        <v>0.47248225450785569</v>
      </c>
      <c r="BH96" s="177"/>
      <c r="BI96" s="538">
        <f t="shared" si="157"/>
        <v>1.9079663225447359E-2</v>
      </c>
      <c r="BJ96" s="538">
        <f t="shared" si="158"/>
        <v>7.157278709108994E-2</v>
      </c>
      <c r="BK96" s="538">
        <f t="shared" si="159"/>
        <v>4.3749999999999995E-3</v>
      </c>
      <c r="BL96" s="538">
        <f t="shared" si="160"/>
        <v>4.6565908480000008E-2</v>
      </c>
      <c r="BM96">
        <f t="shared" si="161"/>
        <v>9.2800000000000001E-3</v>
      </c>
      <c r="BN96">
        <f t="shared" si="162"/>
        <v>2.3625000000000002E-5</v>
      </c>
      <c r="BO96" s="538">
        <f t="shared" si="163"/>
        <v>0.15401490125857598</v>
      </c>
      <c r="BP96" s="469">
        <f t="shared" si="180"/>
        <v>154.01490125857597</v>
      </c>
      <c r="BQ96" s="538">
        <f t="shared" si="164"/>
        <v>0.15480148167508362</v>
      </c>
      <c r="BR96" s="538"/>
      <c r="BT96" s="469">
        <f t="shared" si="181"/>
        <v>154.80148167508361</v>
      </c>
      <c r="BU96" s="538">
        <f t="shared" si="165"/>
        <v>5.4513323501278171E-3</v>
      </c>
      <c r="BV96" s="538">
        <f t="shared" si="166"/>
        <v>6.6971844247447829E-3</v>
      </c>
      <c r="BW96" s="538">
        <f t="shared" si="167"/>
        <v>0</v>
      </c>
      <c r="BX96" s="538">
        <f t="shared" si="168"/>
        <v>1.3619575399073497E-2</v>
      </c>
      <c r="BY96" s="538">
        <f t="shared" si="169"/>
        <v>1.1000888888888892E-2</v>
      </c>
      <c r="BZ96" s="469">
        <f t="shared" si="182"/>
        <v>24.620464287962388</v>
      </c>
      <c r="CA96" s="177">
        <f t="shared" si="183"/>
        <v>0.33343684722162198</v>
      </c>
      <c r="CB96" s="5">
        <f t="shared" si="184"/>
        <v>2.9120000000000004</v>
      </c>
      <c r="CC96" s="177">
        <f t="shared" si="185"/>
        <v>0.89725979493112829</v>
      </c>
      <c r="CD96" s="5">
        <f t="shared" si="186"/>
        <v>89.725979493112831</v>
      </c>
      <c r="CG96" s="571">
        <f t="shared" si="170"/>
        <v>-50</v>
      </c>
      <c r="CH96">
        <f t="shared" si="171"/>
        <v>-50</v>
      </c>
    </row>
    <row r="97" spans="5:86" ht="13" x14ac:dyDescent="0.3">
      <c r="E97" s="174">
        <v>92</v>
      </c>
      <c r="F97" s="221">
        <f t="shared" si="172"/>
        <v>0.18400000000000002</v>
      </c>
      <c r="G97" s="221"/>
      <c r="H97" s="221">
        <f t="shared" si="120"/>
        <v>2.9440000000000004</v>
      </c>
      <c r="I97" s="551">
        <f t="shared" si="121"/>
        <v>32</v>
      </c>
      <c r="J97" s="176">
        <f t="shared" si="122"/>
        <v>19.584</v>
      </c>
      <c r="K97" s="451">
        <f t="shared" si="123"/>
        <v>51.584000000000003</v>
      </c>
      <c r="L97" s="451"/>
      <c r="M97" s="221">
        <f t="shared" si="124"/>
        <v>0.37965260545905705</v>
      </c>
      <c r="N97" s="176">
        <f t="shared" si="125"/>
        <v>8.200496277915633</v>
      </c>
      <c r="O97" s="176">
        <f t="shared" si="173"/>
        <v>2.9440000000000004</v>
      </c>
      <c r="P97" s="221">
        <f t="shared" si="126"/>
        <v>0.51253101736972706</v>
      </c>
      <c r="Q97" s="221">
        <f t="shared" si="127"/>
        <v>16</v>
      </c>
      <c r="R97" s="221">
        <f t="shared" si="128"/>
        <v>0.56947890818858549</v>
      </c>
      <c r="S97" s="176">
        <f t="shared" si="129"/>
        <v>90.81826830956183</v>
      </c>
      <c r="T97" s="542">
        <f t="shared" si="130"/>
        <v>16</v>
      </c>
      <c r="U97" s="221">
        <f t="shared" si="131"/>
        <v>0.53850399419026884</v>
      </c>
      <c r="V97" s="221">
        <f t="shared" si="132"/>
        <v>0.50484749455337707</v>
      </c>
      <c r="W97" s="221">
        <f t="shared" si="133"/>
        <v>0.8249142067865638</v>
      </c>
      <c r="X97" s="201">
        <f t="shared" si="134"/>
        <v>350</v>
      </c>
      <c r="Y97" s="451">
        <f t="shared" si="174"/>
        <v>350</v>
      </c>
      <c r="AA97" s="221">
        <f t="shared" si="135"/>
        <v>1.1570365118752215</v>
      </c>
      <c r="AB97" s="177">
        <f t="shared" si="136"/>
        <v>1.7724211272598367</v>
      </c>
      <c r="AC97" s="177">
        <f t="shared" si="137"/>
        <v>0.4306587513183206</v>
      </c>
      <c r="AD97" s="177"/>
      <c r="AE97" s="177">
        <f t="shared" si="138"/>
        <v>0.4595588235294118</v>
      </c>
      <c r="AF97" s="555">
        <f t="shared" si="139"/>
        <v>2224.3555555555558</v>
      </c>
      <c r="AG97" s="538">
        <f t="shared" si="140"/>
        <v>2.8952205882352939E-2</v>
      </c>
      <c r="AI97" s="177">
        <f t="shared" si="141"/>
        <v>0.79720145429506006</v>
      </c>
      <c r="AJ97" s="177">
        <f t="shared" si="142"/>
        <v>0.79720145429506006</v>
      </c>
      <c r="AK97" s="177">
        <f t="shared" si="143"/>
        <v>1.5314676361967068</v>
      </c>
      <c r="AM97" s="555">
        <f t="shared" si="144"/>
        <v>184.00000000000003</v>
      </c>
      <c r="AN97" s="469">
        <f t="shared" si="145"/>
        <v>350</v>
      </c>
      <c r="AP97">
        <f t="shared" si="146"/>
        <v>184.00000000000003</v>
      </c>
      <c r="AQ97">
        <f t="shared" si="147"/>
        <v>350</v>
      </c>
      <c r="AS97" s="5">
        <f t="shared" si="175"/>
        <v>2.8571428571428572</v>
      </c>
      <c r="AT97" s="5">
        <f t="shared" si="148"/>
        <v>0.74737636340161884</v>
      </c>
      <c r="AU97" s="5">
        <f t="shared" si="176"/>
        <v>2.1097664937412386</v>
      </c>
      <c r="AV97" s="5">
        <f t="shared" si="149"/>
        <v>1.2212032081725799</v>
      </c>
      <c r="AW97" s="177">
        <f t="shared" si="177"/>
        <v>0.2615817271905666</v>
      </c>
      <c r="AX97" s="177">
        <f t="shared" si="150"/>
        <v>3.3365333333333331</v>
      </c>
      <c r="AY97" s="177">
        <f t="shared" si="151"/>
        <v>0.35320087257703603</v>
      </c>
      <c r="AZ97" s="177">
        <f t="shared" si="178"/>
        <v>9.4465602788271923</v>
      </c>
      <c r="BA97" s="469">
        <f t="shared" si="152"/>
        <v>6.273549245269658</v>
      </c>
      <c r="BB97" s="469">
        <f t="shared" si="153"/>
        <v>1.6422196266666669</v>
      </c>
      <c r="BC97" s="5">
        <f t="shared" si="154"/>
        <v>0.1347906371001347</v>
      </c>
      <c r="BD97" s="469">
        <f t="shared" si="155"/>
        <v>21.873168602688217</v>
      </c>
      <c r="BE97" s="5"/>
      <c r="BF97" s="177">
        <f t="shared" si="179"/>
        <v>0.23540254643364267</v>
      </c>
      <c r="BG97" s="177">
        <f t="shared" si="156"/>
        <v>0.47461331568062631</v>
      </c>
      <c r="BH97" s="177"/>
      <c r="BI97" s="538">
        <f t="shared" si="157"/>
        <v>1.9395025603605152E-2</v>
      </c>
      <c r="BJ97" s="538">
        <f t="shared" si="158"/>
        <v>7.1964969682123667E-2</v>
      </c>
      <c r="BK97" s="538">
        <f t="shared" si="159"/>
        <v>4.3749999999999995E-3</v>
      </c>
      <c r="BL97" s="538">
        <f t="shared" si="160"/>
        <v>4.6565908480000008E-2</v>
      </c>
      <c r="BM97">
        <f t="shared" si="161"/>
        <v>9.2800000000000001E-3</v>
      </c>
      <c r="BN97">
        <f t="shared" si="162"/>
        <v>2.3625000000000002E-5</v>
      </c>
      <c r="BO97" s="538">
        <f t="shared" si="163"/>
        <v>0.15477670744079003</v>
      </c>
      <c r="BP97" s="469">
        <f t="shared" si="180"/>
        <v>154.77670744079003</v>
      </c>
      <c r="BQ97" s="538">
        <f t="shared" si="164"/>
        <v>0.15633647937895873</v>
      </c>
      <c r="BR97" s="538"/>
      <c r="BT97" s="469">
        <f t="shared" si="181"/>
        <v>156.33647937895873</v>
      </c>
      <c r="BU97" s="538">
        <f t="shared" si="165"/>
        <v>5.5414358867443298E-3</v>
      </c>
      <c r="BV97" s="538">
        <f t="shared" si="166"/>
        <v>6.7577339826407354E-3</v>
      </c>
      <c r="BW97" s="538">
        <f t="shared" si="167"/>
        <v>0</v>
      </c>
      <c r="BX97" s="538">
        <f t="shared" si="168"/>
        <v>1.3788637357161121E-2</v>
      </c>
      <c r="BY97" s="538">
        <f t="shared" si="169"/>
        <v>1.1121777777777779E-2</v>
      </c>
      <c r="BZ97" s="469">
        <f t="shared" si="182"/>
        <v>24.910415134938898</v>
      </c>
      <c r="CA97" s="177">
        <f t="shared" si="183"/>
        <v>0.33602360195468767</v>
      </c>
      <c r="CB97" s="5">
        <f t="shared" si="184"/>
        <v>2.9440000000000004</v>
      </c>
      <c r="CC97" s="177">
        <f t="shared" si="185"/>
        <v>0.89755451706065803</v>
      </c>
      <c r="CD97" s="5">
        <f t="shared" si="186"/>
        <v>89.755451706065799</v>
      </c>
      <c r="CG97" s="571">
        <f t="shared" si="170"/>
        <v>-50</v>
      </c>
      <c r="CH97">
        <f t="shared" si="171"/>
        <v>-50</v>
      </c>
    </row>
    <row r="98" spans="5:86" ht="13" x14ac:dyDescent="0.3">
      <c r="E98" s="174">
        <v>93</v>
      </c>
      <c r="F98" s="221">
        <f t="shared" si="172"/>
        <v>0.18600000000000003</v>
      </c>
      <c r="G98" s="221"/>
      <c r="H98" s="221">
        <f t="shared" si="120"/>
        <v>2.9760000000000004</v>
      </c>
      <c r="I98" s="551">
        <f t="shared" si="121"/>
        <v>32</v>
      </c>
      <c r="J98" s="176">
        <f t="shared" si="122"/>
        <v>19.584</v>
      </c>
      <c r="K98" s="451">
        <f t="shared" si="123"/>
        <v>51.584000000000003</v>
      </c>
      <c r="L98" s="451"/>
      <c r="M98" s="221">
        <f t="shared" si="124"/>
        <v>0.37965260545905705</v>
      </c>
      <c r="N98" s="176">
        <f t="shared" si="125"/>
        <v>8.200496277915633</v>
      </c>
      <c r="O98" s="176">
        <f t="shared" si="173"/>
        <v>2.9760000000000004</v>
      </c>
      <c r="P98" s="221">
        <f t="shared" si="126"/>
        <v>0.51253101736972706</v>
      </c>
      <c r="Q98" s="221">
        <f t="shared" si="127"/>
        <v>16</v>
      </c>
      <c r="R98" s="221">
        <f t="shared" si="128"/>
        <v>0.56947890818858549</v>
      </c>
      <c r="S98" s="176">
        <f t="shared" si="129"/>
        <v>89.557309836489921</v>
      </c>
      <c r="T98" s="542">
        <f t="shared" si="130"/>
        <v>16</v>
      </c>
      <c r="U98" s="221">
        <f t="shared" si="131"/>
        <v>0.54435729847494563</v>
      </c>
      <c r="V98" s="221">
        <f t="shared" si="132"/>
        <v>0.51033496732026162</v>
      </c>
      <c r="W98" s="221">
        <f t="shared" si="133"/>
        <v>0.83388066555598306</v>
      </c>
      <c r="X98" s="201">
        <f t="shared" si="134"/>
        <v>350</v>
      </c>
      <c r="Y98" s="451">
        <f t="shared" si="174"/>
        <v>350</v>
      </c>
      <c r="AA98" s="221">
        <f t="shared" si="135"/>
        <v>1.1570365118752215</v>
      </c>
      <c r="AB98" s="177">
        <f t="shared" si="136"/>
        <v>1.7724211272598367</v>
      </c>
      <c r="AC98" s="177">
        <f t="shared" si="137"/>
        <v>0.4306587513183206</v>
      </c>
      <c r="AD98" s="177"/>
      <c r="AE98" s="177">
        <f t="shared" si="138"/>
        <v>0.4595588235294118</v>
      </c>
      <c r="AF98" s="555">
        <f t="shared" si="139"/>
        <v>2248.5333333333338</v>
      </c>
      <c r="AG98" s="538">
        <f t="shared" si="140"/>
        <v>2.8952205882352939E-2</v>
      </c>
      <c r="AI98" s="177">
        <f t="shared" si="141"/>
        <v>0.80152236103436014</v>
      </c>
      <c r="AJ98" s="177">
        <f t="shared" si="142"/>
        <v>0.80152236103436014</v>
      </c>
      <c r="AK98" s="177">
        <f t="shared" si="143"/>
        <v>1.5343482406895734</v>
      </c>
      <c r="AM98" s="555">
        <f t="shared" si="144"/>
        <v>186.00000000000003</v>
      </c>
      <c r="AN98" s="469">
        <f t="shared" si="145"/>
        <v>350</v>
      </c>
      <c r="AP98">
        <f t="shared" si="146"/>
        <v>186.00000000000003</v>
      </c>
      <c r="AQ98">
        <f t="shared" si="147"/>
        <v>350</v>
      </c>
      <c r="AS98" s="5">
        <f t="shared" si="175"/>
        <v>2.8571428571428572</v>
      </c>
      <c r="AT98" s="5">
        <f t="shared" si="148"/>
        <v>0.75142721346971264</v>
      </c>
      <c r="AU98" s="5">
        <f t="shared" si="176"/>
        <v>2.1057156436731446</v>
      </c>
      <c r="AV98" s="5">
        <f t="shared" si="149"/>
        <v>1.2278222442315567</v>
      </c>
      <c r="AW98" s="177">
        <f t="shared" si="177"/>
        <v>0.26299952471439941</v>
      </c>
      <c r="AX98" s="177">
        <f t="shared" si="150"/>
        <v>3.3727999999999994</v>
      </c>
      <c r="AY98" s="177">
        <f t="shared" si="151"/>
        <v>0.35443341662061606</v>
      </c>
      <c r="AZ98" s="177">
        <f t="shared" si="178"/>
        <v>9.5160327492772208</v>
      </c>
      <c r="BA98" s="469">
        <f t="shared" si="152"/>
        <v>6.273549245269658</v>
      </c>
      <c r="BB98" s="469">
        <f t="shared" si="153"/>
        <v>1.6720488600000001</v>
      </c>
      <c r="BC98" s="5">
        <f t="shared" si="154"/>
        <v>0.13599413532055726</v>
      </c>
      <c r="BD98" s="469">
        <f t="shared" si="155"/>
        <v>22.069061651289164</v>
      </c>
      <c r="BE98" s="5"/>
      <c r="BF98" s="177">
        <f t="shared" si="179"/>
        <v>0.23731899327420261</v>
      </c>
      <c r="BG98" s="177">
        <f t="shared" si="156"/>
        <v>0.47672743484656399</v>
      </c>
      <c r="BH98" s="177"/>
      <c r="BI98" s="538">
        <f t="shared" si="157"/>
        <v>1.9712106599038357E-2</v>
      </c>
      <c r="BJ98" s="538">
        <f t="shared" si="158"/>
        <v>7.235502657529376E-2</v>
      </c>
      <c r="BK98" s="538">
        <f t="shared" si="159"/>
        <v>4.3749999999999995E-3</v>
      </c>
      <c r="BL98" s="538">
        <f t="shared" si="160"/>
        <v>4.6565908480000008E-2</v>
      </c>
      <c r="BM98">
        <f t="shared" si="161"/>
        <v>9.2800000000000001E-3</v>
      </c>
      <c r="BN98">
        <f t="shared" si="162"/>
        <v>2.3625000000000002E-5</v>
      </c>
      <c r="BO98" s="538">
        <f t="shared" si="163"/>
        <v>0.15553847638965518</v>
      </c>
      <c r="BP98" s="469">
        <f t="shared" si="180"/>
        <v>155.53847638965519</v>
      </c>
      <c r="BQ98" s="538">
        <f t="shared" si="164"/>
        <v>0.15786877600571708</v>
      </c>
      <c r="BR98" s="538"/>
      <c r="BT98" s="469">
        <f t="shared" si="181"/>
        <v>157.86877600571708</v>
      </c>
      <c r="BU98" s="538">
        <f t="shared" si="165"/>
        <v>5.6320304568681029E-3</v>
      </c>
      <c r="BV98" s="538">
        <f t="shared" si="166"/>
        <v>6.8180714140615474E-3</v>
      </c>
      <c r="BW98" s="538">
        <f t="shared" si="167"/>
        <v>0</v>
      </c>
      <c r="BX98" s="538">
        <f t="shared" si="168"/>
        <v>1.3958016393522446E-2</v>
      </c>
      <c r="BY98" s="538">
        <f t="shared" si="169"/>
        <v>1.1242666666666665E-2</v>
      </c>
      <c r="BZ98" s="469">
        <f t="shared" si="182"/>
        <v>25.200683060189114</v>
      </c>
      <c r="CA98" s="177">
        <f t="shared" si="183"/>
        <v>0.33860793545556139</v>
      </c>
      <c r="CB98" s="5">
        <f t="shared" si="184"/>
        <v>2.9760000000000004</v>
      </c>
      <c r="CC98" s="177">
        <f t="shared" si="185"/>
        <v>0.89784374440380899</v>
      </c>
      <c r="CD98" s="5">
        <f t="shared" si="186"/>
        <v>89.784374440380901</v>
      </c>
      <c r="CG98" s="571">
        <f t="shared" si="170"/>
        <v>-50</v>
      </c>
      <c r="CH98">
        <f t="shared" si="171"/>
        <v>-50</v>
      </c>
    </row>
    <row r="99" spans="5:86" ht="13" x14ac:dyDescent="0.3">
      <c r="E99" s="174">
        <v>94</v>
      </c>
      <c r="F99" s="221">
        <f t="shared" si="172"/>
        <v>0.188</v>
      </c>
      <c r="G99" s="221"/>
      <c r="H99" s="221">
        <f t="shared" si="120"/>
        <v>3.008</v>
      </c>
      <c r="I99" s="551">
        <f t="shared" si="121"/>
        <v>32</v>
      </c>
      <c r="J99" s="176">
        <f t="shared" si="122"/>
        <v>19.584</v>
      </c>
      <c r="K99" s="451">
        <f t="shared" si="123"/>
        <v>51.584000000000003</v>
      </c>
      <c r="L99" s="451"/>
      <c r="M99" s="221">
        <f t="shared" si="124"/>
        <v>0.37965260545905705</v>
      </c>
      <c r="N99" s="176">
        <f t="shared" si="125"/>
        <v>8.200496277915633</v>
      </c>
      <c r="O99" s="176">
        <f t="shared" si="173"/>
        <v>3.008</v>
      </c>
      <c r="P99" s="221">
        <f t="shared" si="126"/>
        <v>0.51253101736972706</v>
      </c>
      <c r="Q99" s="221">
        <f t="shared" si="127"/>
        <v>16</v>
      </c>
      <c r="R99" s="221">
        <f t="shared" si="128"/>
        <v>0.56947890818858549</v>
      </c>
      <c r="S99" s="176">
        <f t="shared" si="129"/>
        <v>88.323216416225563</v>
      </c>
      <c r="T99" s="542">
        <f t="shared" si="130"/>
        <v>16</v>
      </c>
      <c r="U99" s="221">
        <f t="shared" si="131"/>
        <v>0.55021060275962241</v>
      </c>
      <c r="V99" s="221">
        <f t="shared" si="132"/>
        <v>0.51582244008714606</v>
      </c>
      <c r="W99" s="221">
        <f t="shared" si="133"/>
        <v>0.84284712432540199</v>
      </c>
      <c r="X99" s="201">
        <f t="shared" si="134"/>
        <v>350</v>
      </c>
      <c r="Y99" s="451">
        <f t="shared" si="174"/>
        <v>350</v>
      </c>
      <c r="AA99" s="221">
        <f t="shared" si="135"/>
        <v>1.1570365118752215</v>
      </c>
      <c r="AB99" s="177">
        <f t="shared" si="136"/>
        <v>1.7724211272598367</v>
      </c>
      <c r="AC99" s="177">
        <f t="shared" si="137"/>
        <v>0.4306587513183206</v>
      </c>
      <c r="AD99" s="177"/>
      <c r="AE99" s="177">
        <f t="shared" si="138"/>
        <v>0.4595588235294118</v>
      </c>
      <c r="AF99" s="555">
        <f t="shared" si="139"/>
        <v>2272.7111111111117</v>
      </c>
      <c r="AG99" s="538">
        <f t="shared" si="140"/>
        <v>2.8952205882352939E-2</v>
      </c>
      <c r="AI99" s="177">
        <f t="shared" si="141"/>
        <v>0.80582009887197015</v>
      </c>
      <c r="AJ99" s="177">
        <f t="shared" si="142"/>
        <v>0.80582009887197015</v>
      </c>
      <c r="AK99" s="177">
        <f t="shared" si="143"/>
        <v>1.53721339924798</v>
      </c>
      <c r="AM99" s="555">
        <f t="shared" si="144"/>
        <v>188</v>
      </c>
      <c r="AN99" s="469">
        <f t="shared" si="145"/>
        <v>350</v>
      </c>
      <c r="AP99">
        <f t="shared" si="146"/>
        <v>188</v>
      </c>
      <c r="AQ99">
        <f t="shared" si="147"/>
        <v>350</v>
      </c>
      <c r="AS99" s="5">
        <f t="shared" si="175"/>
        <v>2.8571428571428572</v>
      </c>
      <c r="AT99" s="5">
        <f t="shared" si="148"/>
        <v>0.75545634269247197</v>
      </c>
      <c r="AU99" s="5">
        <f t="shared" si="176"/>
        <v>2.1016865144503853</v>
      </c>
      <c r="AV99" s="5">
        <f t="shared" si="149"/>
        <v>1.2344057887131896</v>
      </c>
      <c r="AW99" s="177">
        <f t="shared" si="177"/>
        <v>0.26440971994236517</v>
      </c>
      <c r="AX99" s="177">
        <f t="shared" si="150"/>
        <v>3.4090666666666674</v>
      </c>
      <c r="AY99" s="177">
        <f t="shared" si="151"/>
        <v>0.35565205932318211</v>
      </c>
      <c r="AZ99" s="177">
        <f t="shared" si="178"/>
        <v>9.5853983614047849</v>
      </c>
      <c r="BA99" s="469">
        <f t="shared" si="152"/>
        <v>6.273549245269658</v>
      </c>
      <c r="BB99" s="469">
        <f t="shared" si="153"/>
        <v>1.7021357066666665</v>
      </c>
      <c r="BC99" s="5">
        <f t="shared" si="154"/>
        <v>0.13719342524884459</v>
      </c>
      <c r="BD99" s="469">
        <f t="shared" si="155"/>
        <v>22.264281373148467</v>
      </c>
      <c r="BE99" s="5"/>
      <c r="BF99" s="177">
        <f t="shared" si="179"/>
        <v>0.23923029518273423</v>
      </c>
      <c r="BG99" s="177">
        <f t="shared" si="156"/>
        <v>0.47882487621912578</v>
      </c>
      <c r="BH99" s="177"/>
      <c r="BI99" s="538">
        <f t="shared" si="157"/>
        <v>2.003089694662635E-2</v>
      </c>
      <c r="BJ99" s="538">
        <f t="shared" si="158"/>
        <v>7.2742991965370485E-2</v>
      </c>
      <c r="BK99" s="538">
        <f t="shared" si="159"/>
        <v>4.3749999999999995E-3</v>
      </c>
      <c r="BL99" s="538">
        <f t="shared" si="160"/>
        <v>4.6565908480000008E-2</v>
      </c>
      <c r="BM99">
        <f t="shared" si="161"/>
        <v>9.2800000000000001E-3</v>
      </c>
      <c r="BN99">
        <f t="shared" si="162"/>
        <v>2.3625000000000002E-5</v>
      </c>
      <c r="BO99" s="538">
        <f t="shared" si="163"/>
        <v>0.15630023232445683</v>
      </c>
      <c r="BP99" s="469">
        <f t="shared" si="180"/>
        <v>156.30023232445683</v>
      </c>
      <c r="BQ99" s="538">
        <f t="shared" si="164"/>
        <v>0.15939838611695173</v>
      </c>
      <c r="BR99" s="538"/>
      <c r="BT99" s="469">
        <f t="shared" si="181"/>
        <v>159.39838611695174</v>
      </c>
      <c r="BU99" s="538">
        <f t="shared" si="165"/>
        <v>5.7231134133218153E-3</v>
      </c>
      <c r="BV99" s="538">
        <f t="shared" si="166"/>
        <v>6.8781978625878336E-3</v>
      </c>
      <c r="BW99" s="538">
        <f t="shared" si="167"/>
        <v>0</v>
      </c>
      <c r="BX99" s="538">
        <f t="shared" si="168"/>
        <v>1.4127710843575286E-2</v>
      </c>
      <c r="BY99" s="538">
        <f t="shared" si="169"/>
        <v>1.1363555555555557E-2</v>
      </c>
      <c r="BZ99" s="469">
        <f t="shared" si="182"/>
        <v>25.491266399130843</v>
      </c>
      <c r="CA99" s="177">
        <f t="shared" si="183"/>
        <v>0.34118988484053941</v>
      </c>
      <c r="CB99" s="5">
        <f t="shared" si="184"/>
        <v>3.008</v>
      </c>
      <c r="CC99" s="177">
        <f t="shared" si="185"/>
        <v>0.89812763785509164</v>
      </c>
      <c r="CD99" s="5">
        <f t="shared" si="186"/>
        <v>89.812763785509162</v>
      </c>
      <c r="CG99" s="571">
        <f t="shared" si="170"/>
        <v>-50</v>
      </c>
      <c r="CH99">
        <f t="shared" si="171"/>
        <v>-50</v>
      </c>
    </row>
    <row r="100" spans="5:86" ht="13" x14ac:dyDescent="0.3">
      <c r="E100" s="174">
        <v>95</v>
      </c>
      <c r="F100" s="221">
        <f t="shared" si="172"/>
        <v>0.19</v>
      </c>
      <c r="G100" s="221"/>
      <c r="H100" s="221">
        <f t="shared" si="120"/>
        <v>3.04</v>
      </c>
      <c r="I100" s="551">
        <f t="shared" si="121"/>
        <v>32</v>
      </c>
      <c r="J100" s="176">
        <f t="shared" si="122"/>
        <v>19.584</v>
      </c>
      <c r="K100" s="451">
        <f t="shared" si="123"/>
        <v>51.584000000000003</v>
      </c>
      <c r="L100" s="451"/>
      <c r="M100" s="221">
        <f t="shared" si="124"/>
        <v>0.37965260545905705</v>
      </c>
      <c r="N100" s="176">
        <f t="shared" si="125"/>
        <v>8.200496277915633</v>
      </c>
      <c r="O100" s="176">
        <f t="shared" si="173"/>
        <v>3.04</v>
      </c>
      <c r="P100" s="221">
        <f t="shared" si="126"/>
        <v>0.51253101736972706</v>
      </c>
      <c r="Q100" s="221">
        <f t="shared" si="127"/>
        <v>16</v>
      </c>
      <c r="R100" s="221">
        <f t="shared" si="128"/>
        <v>0.56947890818858549</v>
      </c>
      <c r="S100" s="176">
        <f t="shared" si="129"/>
        <v>87.115140013004222</v>
      </c>
      <c r="T100" s="542">
        <f t="shared" si="130"/>
        <v>16</v>
      </c>
      <c r="U100" s="221">
        <f t="shared" si="131"/>
        <v>0.5560639070442992</v>
      </c>
      <c r="V100" s="221">
        <f t="shared" si="132"/>
        <v>0.5213099128540305</v>
      </c>
      <c r="W100" s="221">
        <f t="shared" si="133"/>
        <v>0.85181358309482114</v>
      </c>
      <c r="X100" s="201">
        <f t="shared" si="134"/>
        <v>350</v>
      </c>
      <c r="Y100" s="451">
        <f t="shared" si="174"/>
        <v>350</v>
      </c>
      <c r="AA100" s="221">
        <f t="shared" si="135"/>
        <v>1.1570365118752215</v>
      </c>
      <c r="AB100" s="177">
        <f t="shared" si="136"/>
        <v>1.7724211272598367</v>
      </c>
      <c r="AC100" s="177">
        <f t="shared" si="137"/>
        <v>0.4306587513183206</v>
      </c>
      <c r="AD100" s="177"/>
      <c r="AE100" s="177">
        <f t="shared" si="138"/>
        <v>0.4595588235294118</v>
      </c>
      <c r="AF100" s="555">
        <f t="shared" si="139"/>
        <v>2296.8888888888891</v>
      </c>
      <c r="AG100" s="538">
        <f t="shared" si="140"/>
        <v>2.8952205882352939E-2</v>
      </c>
      <c r="AI100" s="177">
        <f t="shared" si="141"/>
        <v>0.81009503655680315</v>
      </c>
      <c r="AJ100" s="177">
        <f t="shared" si="142"/>
        <v>0.81009503655680315</v>
      </c>
      <c r="AK100" s="177">
        <f t="shared" si="143"/>
        <v>1.5400633577045353</v>
      </c>
      <c r="AM100" s="555">
        <f t="shared" si="144"/>
        <v>190</v>
      </c>
      <c r="AN100" s="469">
        <f t="shared" si="145"/>
        <v>350</v>
      </c>
      <c r="AP100">
        <f t="shared" si="146"/>
        <v>190</v>
      </c>
      <c r="AQ100">
        <f t="shared" si="147"/>
        <v>350</v>
      </c>
      <c r="AS100" s="5">
        <f t="shared" si="175"/>
        <v>2.8571428571428572</v>
      </c>
      <c r="AT100" s="5">
        <f t="shared" si="148"/>
        <v>0.75946409677200299</v>
      </c>
      <c r="AU100" s="5">
        <f t="shared" si="176"/>
        <v>2.0976787603708544</v>
      </c>
      <c r="AV100" s="5">
        <f t="shared" si="149"/>
        <v>1.2409544064902009</v>
      </c>
      <c r="AW100" s="177">
        <f t="shared" si="177"/>
        <v>0.26581243387020104</v>
      </c>
      <c r="AX100" s="177">
        <f t="shared" si="150"/>
        <v>3.4453333333333331</v>
      </c>
      <c r="AY100" s="177">
        <f t="shared" si="151"/>
        <v>0.35685702193408186</v>
      </c>
      <c r="AZ100" s="177">
        <f t="shared" si="178"/>
        <v>9.6546603305167711</v>
      </c>
      <c r="BA100" s="469">
        <f t="shared" si="152"/>
        <v>6.273549245269658</v>
      </c>
      <c r="BB100" s="469">
        <f t="shared" si="153"/>
        <v>1.7324801666666665</v>
      </c>
      <c r="BC100" s="5">
        <f t="shared" si="154"/>
        <v>0.13838852933002163</v>
      </c>
      <c r="BD100" s="469">
        <f t="shared" si="155"/>
        <v>22.458831359470128</v>
      </c>
      <c r="BE100" s="5"/>
      <c r="BF100" s="177">
        <f t="shared" si="179"/>
        <v>0.24113652048757561</v>
      </c>
      <c r="BG100" s="177">
        <f t="shared" si="156"/>
        <v>0.48090589701457553</v>
      </c>
      <c r="BH100" s="177"/>
      <c r="BI100" s="538">
        <f t="shared" si="157"/>
        <v>2.0351387529499242E-2</v>
      </c>
      <c r="BJ100" s="538">
        <f t="shared" si="158"/>
        <v>7.3128899140055742E-2</v>
      </c>
      <c r="BK100" s="538">
        <f t="shared" si="159"/>
        <v>4.3749999999999995E-3</v>
      </c>
      <c r="BL100" s="538">
        <f t="shared" si="160"/>
        <v>4.6565908480000008E-2</v>
      </c>
      <c r="BM100">
        <f t="shared" si="161"/>
        <v>9.2800000000000001E-3</v>
      </c>
      <c r="BN100">
        <f t="shared" si="162"/>
        <v>2.3625000000000002E-5</v>
      </c>
      <c r="BO100" s="538">
        <f t="shared" si="163"/>
        <v>0.15706199872765517</v>
      </c>
      <c r="BP100" s="469">
        <f t="shared" si="180"/>
        <v>157.06199872765518</v>
      </c>
      <c r="BQ100" s="538">
        <f t="shared" si="164"/>
        <v>0.16092532404125634</v>
      </c>
      <c r="BR100" s="538"/>
      <c r="BT100" s="469">
        <f t="shared" si="181"/>
        <v>160.92532404125635</v>
      </c>
      <c r="BU100" s="538">
        <f t="shared" si="165"/>
        <v>5.8146821512854979E-3</v>
      </c>
      <c r="BV100" s="538">
        <f t="shared" si="166"/>
        <v>6.9381144535018051E-3</v>
      </c>
      <c r="BW100" s="538">
        <f t="shared" si="167"/>
        <v>0</v>
      </c>
      <c r="BX100" s="538">
        <f t="shared" si="168"/>
        <v>1.429771906961836E-2</v>
      </c>
      <c r="BY100" s="538">
        <f t="shared" si="169"/>
        <v>1.1484444444444445E-2</v>
      </c>
      <c r="BZ100" s="469">
        <f t="shared" si="182"/>
        <v>25.782163514062802</v>
      </c>
      <c r="CA100" s="177">
        <f t="shared" si="183"/>
        <v>0.34376948628297432</v>
      </c>
      <c r="CB100" s="5">
        <f t="shared" si="184"/>
        <v>3.04</v>
      </c>
      <c r="CC100" s="177">
        <f t="shared" si="185"/>
        <v>0.89840635194668639</v>
      </c>
      <c r="CD100" s="5">
        <f t="shared" si="186"/>
        <v>89.840635194668636</v>
      </c>
      <c r="CG100" s="571">
        <f t="shared" si="170"/>
        <v>-50</v>
      </c>
      <c r="CH100">
        <f t="shared" si="171"/>
        <v>-50</v>
      </c>
    </row>
    <row r="101" spans="5:86" ht="13" x14ac:dyDescent="0.3">
      <c r="E101" s="174">
        <v>96</v>
      </c>
      <c r="F101" s="221">
        <f t="shared" si="172"/>
        <v>0.192</v>
      </c>
      <c r="G101" s="221"/>
      <c r="H101" s="221">
        <f t="shared" ref="H101:H105" si="187">F101*Vout</f>
        <v>3.0720000000000001</v>
      </c>
      <c r="I101" s="551">
        <f t="shared" si="121"/>
        <v>32</v>
      </c>
      <c r="J101" s="176">
        <f t="shared" si="122"/>
        <v>19.584</v>
      </c>
      <c r="K101" s="451">
        <f t="shared" si="123"/>
        <v>51.584000000000003</v>
      </c>
      <c r="L101" s="451"/>
      <c r="M101" s="221">
        <f t="shared" si="124"/>
        <v>0.37965260545905705</v>
      </c>
      <c r="N101" s="176">
        <f t="shared" ref="N101:N105" si="188">M101*I101*Isw_max*0.5*Efficiency</f>
        <v>8.200496277915633</v>
      </c>
      <c r="O101" s="176">
        <f t="shared" si="173"/>
        <v>3.0720000000000001</v>
      </c>
      <c r="P101" s="221">
        <f t="shared" ref="P101:P105" si="189">N101/Vout</f>
        <v>0.51253101736972706</v>
      </c>
      <c r="Q101" s="221">
        <f t="shared" si="127"/>
        <v>16</v>
      </c>
      <c r="R101" s="221">
        <f t="shared" ref="R101:R105" si="190">Isw_max/2*I101*Nps*(Q101+Vfwd1)/Q101/(I101+Nps*(Q101+Vfwd1))</f>
        <v>0.56947890818858549</v>
      </c>
      <c r="S101" s="176">
        <f t="shared" si="129"/>
        <v>85.932267929931612</v>
      </c>
      <c r="T101" s="542">
        <f t="shared" ref="T101:T105" si="191">MIN(Vout, S101)</f>
        <v>16</v>
      </c>
      <c r="U101" s="221">
        <f t="shared" si="131"/>
        <v>0.5619172113289761</v>
      </c>
      <c r="V101" s="221">
        <f t="shared" ref="V101:V105" si="192">L*U101/I101*1000000</f>
        <v>0.52679738562091505</v>
      </c>
      <c r="W101" s="221">
        <f t="shared" si="133"/>
        <v>0.86078004186424029</v>
      </c>
      <c r="X101" s="201">
        <f t="shared" si="134"/>
        <v>350</v>
      </c>
      <c r="Y101" s="451">
        <f t="shared" si="174"/>
        <v>350</v>
      </c>
      <c r="AA101" s="221">
        <f t="shared" si="135"/>
        <v>1.1570365118752215</v>
      </c>
      <c r="AB101" s="177">
        <f t="shared" ref="AB101:AB105" si="193">L*AA101/J101*1000000</f>
        <v>1.7724211272598367</v>
      </c>
      <c r="AC101" s="177">
        <f t="shared" ref="AC101:AC105" si="194">0.5*AB101*AA101*Nps*X101/1000</f>
        <v>0.4306587513183206</v>
      </c>
      <c r="AD101" s="177"/>
      <c r="AE101" s="177">
        <f t="shared" si="138"/>
        <v>0.4595588235294118</v>
      </c>
      <c r="AF101" s="555">
        <f t="shared" ref="AF101:AF105" si="195">MAX(12, F101/(0.5*AE101/1000000*Isw_min*Nps)/1000)</f>
        <v>2321.0666666666671</v>
      </c>
      <c r="AG101" s="538">
        <f t="shared" si="140"/>
        <v>2.8952205882352939E-2</v>
      </c>
      <c r="AI101" s="177">
        <f t="shared" si="141"/>
        <v>0.81434753315885022</v>
      </c>
      <c r="AJ101" s="177">
        <f t="shared" ref="AJ101:AJ105" si="196">MAX(IF(F101&gt;AC101,U101,AI101),Isw_min)</f>
        <v>0.81434753315885022</v>
      </c>
      <c r="AK101" s="177">
        <f t="shared" ref="AK101:AK105" si="197">IF(F101&gt;AG101, (AJ101-Isw_min)/1.2*0.8+1.2, AF101*0.2/350+1)</f>
        <v>1.5428983554392335</v>
      </c>
      <c r="AM101" s="555">
        <f t="shared" si="144"/>
        <v>192</v>
      </c>
      <c r="AN101" s="469">
        <f t="shared" si="145"/>
        <v>350</v>
      </c>
      <c r="AP101">
        <f t="shared" si="146"/>
        <v>192</v>
      </c>
      <c r="AQ101">
        <f t="shared" si="147"/>
        <v>350</v>
      </c>
      <c r="AS101" s="5">
        <f t="shared" si="175"/>
        <v>2.8571428571428572</v>
      </c>
      <c r="AT101" s="5">
        <f t="shared" si="148"/>
        <v>0.76345081233642209</v>
      </c>
      <c r="AU101" s="5">
        <f t="shared" si="176"/>
        <v>2.0936920448064349</v>
      </c>
      <c r="AV101" s="5">
        <f t="shared" si="149"/>
        <v>1.2474686476085328</v>
      </c>
      <c r="AW101" s="177">
        <f t="shared" si="177"/>
        <v>0.26720778431774772</v>
      </c>
      <c r="AX101" s="177">
        <f t="shared" si="150"/>
        <v>3.4815999999999994</v>
      </c>
      <c r="AY101" s="177">
        <f t="shared" si="151"/>
        <v>0.35804851989531017</v>
      </c>
      <c r="AZ101" s="177">
        <f t="shared" si="178"/>
        <v>9.7238217910186719</v>
      </c>
      <c r="BA101" s="469">
        <f t="shared" si="152"/>
        <v>6.273549245269658</v>
      </c>
      <c r="BB101" s="469">
        <f t="shared" si="153"/>
        <v>1.7630822399999997</v>
      </c>
      <c r="BC101" s="5">
        <f t="shared" si="154"/>
        <v>0.13957946965376231</v>
      </c>
      <c r="BD101" s="469">
        <f t="shared" si="155"/>
        <v>22.65271514460197</v>
      </c>
      <c r="BE101" s="5"/>
      <c r="BF101" s="177">
        <f t="shared" si="179"/>
        <v>0.24303773590080327</v>
      </c>
      <c r="BG101" s="177">
        <f t="shared" si="156"/>
        <v>0.48297074770873927</v>
      </c>
      <c r="BH101" s="177"/>
      <c r="BI101" s="538">
        <f t="shared" si="157"/>
        <v>2.0673569375126009E-2</v>
      </c>
      <c r="BJ101" s="538">
        <f t="shared" si="158"/>
        <v>7.3512780513315737E-2</v>
      </c>
      <c r="BK101" s="538">
        <f t="shared" si="159"/>
        <v>4.3749999999999995E-3</v>
      </c>
      <c r="BL101" s="538">
        <f t="shared" si="160"/>
        <v>4.6565908480000008E-2</v>
      </c>
      <c r="BM101">
        <f t="shared" si="161"/>
        <v>9.2800000000000001E-3</v>
      </c>
      <c r="BN101">
        <f t="shared" si="162"/>
        <v>2.3625000000000002E-5</v>
      </c>
      <c r="BO101" s="538">
        <f t="shared" ref="BO101:BO105" si="198">(BJ101+BK101+BL101+BM101+BN101+BI101*(1+RdsonTC*(Ta-25)))/(1-BI101*RdsonTC*ThetaJA)</f>
        <v>0.15782379837373559</v>
      </c>
      <c r="BP101" s="469">
        <f t="shared" si="180"/>
        <v>157.8237983737356</v>
      </c>
      <c r="BQ101" s="538">
        <f t="shared" si="164"/>
        <v>0.16244960388037338</v>
      </c>
      <c r="BR101" s="538"/>
      <c r="BT101" s="469">
        <f t="shared" si="181"/>
        <v>162.44960388037339</v>
      </c>
      <c r="BU101" s="538">
        <f t="shared" si="165"/>
        <v>5.9067341071788598E-3</v>
      </c>
      <c r="BV101" s="538">
        <f t="shared" si="166"/>
        <v>6.9978222942701602E-3</v>
      </c>
      <c r="BW101" s="538">
        <f t="shared" si="167"/>
        <v>0</v>
      </c>
      <c r="BX101" s="538">
        <f t="shared" ref="BX101:BX105" si="199">(BW101+(BU101+BV101)*(1+Ltc*(Ta-25)))/(1-(BU101+BV101)*Ltc*ThetaCa)</f>
        <v>1.4468039460121427E-2</v>
      </c>
      <c r="BY101" s="538">
        <f t="shared" si="169"/>
        <v>1.1605333333333332E-2</v>
      </c>
      <c r="BZ101" s="469">
        <f t="shared" si="182"/>
        <v>26.073372793454759</v>
      </c>
      <c r="CA101" s="177">
        <f t="shared" si="183"/>
        <v>0.34634677504756373</v>
      </c>
      <c r="CB101" s="5">
        <f t="shared" si="184"/>
        <v>3.0720000000000001</v>
      </c>
      <c r="CC101" s="177">
        <f t="shared" si="185"/>
        <v>0.89868003516327144</v>
      </c>
      <c r="CD101" s="5">
        <f t="shared" si="186"/>
        <v>89.86800351632715</v>
      </c>
      <c r="CG101" s="571">
        <f t="shared" si="170"/>
        <v>-50</v>
      </c>
      <c r="CH101">
        <f t="shared" si="171"/>
        <v>-50</v>
      </c>
    </row>
    <row r="102" spans="5:86" ht="13" x14ac:dyDescent="0.3">
      <c r="E102" s="174">
        <v>97</v>
      </c>
      <c r="F102" s="221">
        <f t="shared" ref="F102:F105" si="200">IF(PLOT_TYPE=1, E102/100*Iout_max, min_I*EXP(N102*rr/100))</f>
        <v>0.19400000000000001</v>
      </c>
      <c r="G102" s="221"/>
      <c r="H102" s="221">
        <f t="shared" si="187"/>
        <v>3.1040000000000001</v>
      </c>
      <c r="I102" s="551">
        <f t="shared" si="121"/>
        <v>32</v>
      </c>
      <c r="J102" s="176">
        <f t="shared" si="122"/>
        <v>19.584</v>
      </c>
      <c r="K102" s="451">
        <f t="shared" si="123"/>
        <v>51.584000000000003</v>
      </c>
      <c r="L102" s="451"/>
      <c r="M102" s="221">
        <f t="shared" si="124"/>
        <v>0.37965260545905705</v>
      </c>
      <c r="N102" s="176">
        <f t="shared" si="188"/>
        <v>8.200496277915633</v>
      </c>
      <c r="O102" s="176">
        <f t="shared" si="173"/>
        <v>3.1040000000000001</v>
      </c>
      <c r="P102" s="221">
        <f t="shared" si="189"/>
        <v>0.51253101736972706</v>
      </c>
      <c r="Q102" s="221">
        <f t="shared" si="127"/>
        <v>16</v>
      </c>
      <c r="R102" s="221">
        <f t="shared" si="190"/>
        <v>0.56947890818858549</v>
      </c>
      <c r="S102" s="176">
        <f t="shared" si="129"/>
        <v>84.773820987452467</v>
      </c>
      <c r="T102" s="542">
        <f t="shared" si="191"/>
        <v>16</v>
      </c>
      <c r="U102" s="221">
        <f t="shared" si="131"/>
        <v>0.56777051561365288</v>
      </c>
      <c r="V102" s="221">
        <f t="shared" si="192"/>
        <v>0.5322848583877996</v>
      </c>
      <c r="W102" s="221">
        <f t="shared" si="133"/>
        <v>0.86974650063365955</v>
      </c>
      <c r="X102" s="201">
        <f t="shared" si="134"/>
        <v>350</v>
      </c>
      <c r="Y102" s="451">
        <f t="shared" si="174"/>
        <v>350</v>
      </c>
      <c r="AA102" s="221">
        <f t="shared" si="135"/>
        <v>1.1570365118752215</v>
      </c>
      <c r="AB102" s="177">
        <f t="shared" si="193"/>
        <v>1.7724211272598367</v>
      </c>
      <c r="AC102" s="177">
        <f t="shared" si="194"/>
        <v>0.4306587513183206</v>
      </c>
      <c r="AD102" s="177"/>
      <c r="AE102" s="177">
        <f t="shared" si="138"/>
        <v>0.4595588235294118</v>
      </c>
      <c r="AF102" s="555">
        <f t="shared" si="195"/>
        <v>2345.2444444444445</v>
      </c>
      <c r="AG102" s="538">
        <f t="shared" si="140"/>
        <v>2.8952205882352939E-2</v>
      </c>
      <c r="AI102" s="177">
        <f t="shared" si="141"/>
        <v>0.818577938421163</v>
      </c>
      <c r="AJ102" s="177">
        <f t="shared" si="196"/>
        <v>0.818577938421163</v>
      </c>
      <c r="AK102" s="177">
        <f t="shared" si="197"/>
        <v>1.5457186256141087</v>
      </c>
      <c r="AM102" s="555">
        <f t="shared" si="144"/>
        <v>194</v>
      </c>
      <c r="AN102" s="469">
        <f t="shared" si="145"/>
        <v>350</v>
      </c>
      <c r="AP102">
        <f t="shared" si="146"/>
        <v>194</v>
      </c>
      <c r="AQ102">
        <f t="shared" si="147"/>
        <v>350</v>
      </c>
      <c r="AS102" s="5">
        <f t="shared" si="175"/>
        <v>2.8571428571428572</v>
      </c>
      <c r="AT102" s="5">
        <f t="shared" si="148"/>
        <v>0.76741681726984035</v>
      </c>
      <c r="AU102" s="5">
        <f t="shared" si="176"/>
        <v>2.0897260398730166</v>
      </c>
      <c r="AV102" s="5">
        <f t="shared" si="149"/>
        <v>1.2539490478265365</v>
      </c>
      <c r="AW102" s="177">
        <f t="shared" si="177"/>
        <v>0.26859588604444412</v>
      </c>
      <c r="AX102" s="177">
        <f t="shared" si="150"/>
        <v>3.5178666666666669</v>
      </c>
      <c r="AY102" s="177">
        <f t="shared" si="151"/>
        <v>0.35922676305269774</v>
      </c>
      <c r="AZ102" s="177">
        <f t="shared" si="178"/>
        <v>9.7928857994096727</v>
      </c>
      <c r="BA102" s="469">
        <f t="shared" si="152"/>
        <v>6.273549245269658</v>
      </c>
      <c r="BB102" s="469">
        <f t="shared" si="153"/>
        <v>1.7939419266666665</v>
      </c>
      <c r="BC102" s="5">
        <f t="shared" si="154"/>
        <v>0.14076626796366848</v>
      </c>
      <c r="BD102" s="469">
        <f t="shared" si="155"/>
        <v>22.845936207520285</v>
      </c>
      <c r="BE102" s="5"/>
      <c r="BF102" s="177">
        <f t="shared" si="179"/>
        <v>0.24493400657288147</v>
      </c>
      <c r="BG102" s="177">
        <f t="shared" si="156"/>
        <v>0.48501967228176213</v>
      </c>
      <c r="BH102" s="177"/>
      <c r="BI102" s="538">
        <f t="shared" si="157"/>
        <v>2.0997433651545518E-2</v>
      </c>
      <c r="BJ102" s="538">
        <f t="shared" si="158"/>
        <v>7.3894667657155244E-2</v>
      </c>
      <c r="BK102" s="538">
        <f t="shared" si="159"/>
        <v>4.3749999999999995E-3</v>
      </c>
      <c r="BL102" s="538">
        <f t="shared" si="160"/>
        <v>4.6565908480000008E-2</v>
      </c>
      <c r="BM102">
        <f t="shared" si="161"/>
        <v>9.2800000000000001E-3</v>
      </c>
      <c r="BN102">
        <f t="shared" si="162"/>
        <v>2.3625000000000002E-5</v>
      </c>
      <c r="BO102" s="538">
        <f t="shared" si="198"/>
        <v>0.15858565335666427</v>
      </c>
      <c r="BP102" s="469">
        <f t="shared" si="180"/>
        <v>158.58565335666427</v>
      </c>
      <c r="BQ102" s="538">
        <f t="shared" si="164"/>
        <v>0.16397123951511763</v>
      </c>
      <c r="BR102" s="538"/>
      <c r="BT102" s="469">
        <f t="shared" si="181"/>
        <v>163.97123951511765</v>
      </c>
      <c r="BU102" s="538">
        <f t="shared" si="165"/>
        <v>5.9992667575844349E-3</v>
      </c>
      <c r="BV102" s="538">
        <f t="shared" si="166"/>
        <v>7.0573224750092372E-3</v>
      </c>
      <c r="BW102" s="538">
        <f t="shared" si="167"/>
        <v>0</v>
      </c>
      <c r="BX102" s="538">
        <f t="shared" si="199"/>
        <v>1.4638670429041179E-2</v>
      </c>
      <c r="BY102" s="538">
        <f t="shared" si="169"/>
        <v>1.1726222222222225E-2</v>
      </c>
      <c r="BZ102" s="469">
        <f t="shared" si="182"/>
        <v>26.364892651263403</v>
      </c>
      <c r="CA102" s="177">
        <f t="shared" si="183"/>
        <v>0.34892178552304531</v>
      </c>
      <c r="CB102" s="5">
        <f t="shared" si="184"/>
        <v>3.1040000000000001</v>
      </c>
      <c r="CC102" s="177">
        <f t="shared" si="185"/>
        <v>0.89894883023821781</v>
      </c>
      <c r="CD102" s="5">
        <f t="shared" si="186"/>
        <v>89.894883023821777</v>
      </c>
      <c r="CG102" s="571">
        <f t="shared" si="170"/>
        <v>-50</v>
      </c>
      <c r="CH102">
        <f t="shared" si="171"/>
        <v>-50</v>
      </c>
    </row>
    <row r="103" spans="5:86" ht="13" x14ac:dyDescent="0.3">
      <c r="E103" s="174">
        <v>98</v>
      </c>
      <c r="F103" s="221">
        <f t="shared" si="200"/>
        <v>0.19600000000000001</v>
      </c>
      <c r="G103" s="221"/>
      <c r="H103" s="221">
        <f t="shared" si="187"/>
        <v>3.1360000000000001</v>
      </c>
      <c r="I103" s="551">
        <f t="shared" si="121"/>
        <v>32</v>
      </c>
      <c r="J103" s="176">
        <f t="shared" si="122"/>
        <v>19.584</v>
      </c>
      <c r="K103" s="451">
        <f t="shared" si="123"/>
        <v>51.584000000000003</v>
      </c>
      <c r="L103" s="451"/>
      <c r="M103" s="221">
        <f t="shared" si="124"/>
        <v>0.37965260545905705</v>
      </c>
      <c r="N103" s="176">
        <f t="shared" si="188"/>
        <v>8.200496277915633</v>
      </c>
      <c r="O103" s="176">
        <f t="shared" si="173"/>
        <v>3.1360000000000001</v>
      </c>
      <c r="P103" s="221">
        <f t="shared" si="189"/>
        <v>0.51253101736972706</v>
      </c>
      <c r="Q103" s="221">
        <f t="shared" si="127"/>
        <v>16</v>
      </c>
      <c r="R103" s="221">
        <f t="shared" si="190"/>
        <v>0.56947890818858549</v>
      </c>
      <c r="S103" s="176">
        <f t="shared" si="129"/>
        <v>83.639051813342675</v>
      </c>
      <c r="T103" s="542">
        <f t="shared" si="191"/>
        <v>16</v>
      </c>
      <c r="U103" s="221">
        <f t="shared" si="131"/>
        <v>0.57362381989832978</v>
      </c>
      <c r="V103" s="221">
        <f t="shared" si="192"/>
        <v>0.53777233115468415</v>
      </c>
      <c r="W103" s="221">
        <f t="shared" si="133"/>
        <v>0.8787129594030787</v>
      </c>
      <c r="X103" s="201">
        <f t="shared" si="134"/>
        <v>350</v>
      </c>
      <c r="Y103" s="451">
        <f t="shared" si="174"/>
        <v>350</v>
      </c>
      <c r="AA103" s="221">
        <f t="shared" si="135"/>
        <v>1.1570365118752215</v>
      </c>
      <c r="AB103" s="177">
        <f t="shared" si="193"/>
        <v>1.7724211272598367</v>
      </c>
      <c r="AC103" s="177">
        <f t="shared" si="194"/>
        <v>0.4306587513183206</v>
      </c>
      <c r="AD103" s="177"/>
      <c r="AE103" s="177">
        <f t="shared" si="138"/>
        <v>0.4595588235294118</v>
      </c>
      <c r="AF103" s="555">
        <f t="shared" si="195"/>
        <v>2369.4222222222224</v>
      </c>
      <c r="AG103" s="538">
        <f t="shared" si="140"/>
        <v>2.8952205882352939E-2</v>
      </c>
      <c r="AI103" s="177">
        <f t="shared" si="141"/>
        <v>0.82278659309554736</v>
      </c>
      <c r="AJ103" s="177">
        <f t="shared" si="196"/>
        <v>0.82278659309554736</v>
      </c>
      <c r="AK103" s="177">
        <f t="shared" si="197"/>
        <v>1.5485243953970316</v>
      </c>
      <c r="AM103" s="555">
        <f t="shared" si="144"/>
        <v>196</v>
      </c>
      <c r="AN103" s="469">
        <f t="shared" si="145"/>
        <v>350</v>
      </c>
      <c r="AP103">
        <f t="shared" si="146"/>
        <v>196</v>
      </c>
      <c r="AQ103">
        <f t="shared" si="147"/>
        <v>350</v>
      </c>
      <c r="AS103" s="5">
        <f t="shared" si="175"/>
        <v>2.8571428571428572</v>
      </c>
      <c r="AT103" s="5">
        <f t="shared" si="148"/>
        <v>0.77136243102707569</v>
      </c>
      <c r="AU103" s="5">
        <f t="shared" si="176"/>
        <v>2.0857804261157815</v>
      </c>
      <c r="AV103" s="5">
        <f t="shared" si="149"/>
        <v>1.2603961291292085</v>
      </c>
      <c r="AW103" s="177">
        <f t="shared" si="177"/>
        <v>0.26997685085947648</v>
      </c>
      <c r="AX103" s="177">
        <f t="shared" si="150"/>
        <v>3.5541333333333336</v>
      </c>
      <c r="AY103" s="177">
        <f t="shared" si="151"/>
        <v>0.36039195585732842</v>
      </c>
      <c r="AZ103" s="177">
        <f t="shared" si="178"/>
        <v>9.8618553371383797</v>
      </c>
      <c r="BA103" s="469">
        <f t="shared" si="152"/>
        <v>6.273549245269658</v>
      </c>
      <c r="BB103" s="469">
        <f t="shared" si="153"/>
        <v>1.8250592266666668</v>
      </c>
      <c r="BC103" s="5">
        <f t="shared" si="154"/>
        <v>0.14194894566621291</v>
      </c>
      <c r="BD103" s="469">
        <f t="shared" si="155"/>
        <v>23.038497973260732</v>
      </c>
      <c r="BE103" s="5"/>
      <c r="BF103" s="177">
        <f t="shared" si="179"/>
        <v>0.24682539614492058</v>
      </c>
      <c r="BG103" s="177">
        <f t="shared" si="156"/>
        <v>0.48705290845154975</v>
      </c>
      <c r="BH103" s="177"/>
      <c r="BI103" s="538">
        <f t="shared" si="157"/>
        <v>2.1322971663733939E-2</v>
      </c>
      <c r="BJ103" s="538">
        <f t="shared" si="158"/>
        <v>7.4274591331921255E-2</v>
      </c>
      <c r="BK103" s="538">
        <f t="shared" si="159"/>
        <v>4.3749999999999995E-3</v>
      </c>
      <c r="BL103" s="538">
        <f t="shared" si="160"/>
        <v>4.6565908480000008E-2</v>
      </c>
      <c r="BM103">
        <f t="shared" si="161"/>
        <v>9.2800000000000001E-3</v>
      </c>
      <c r="BN103">
        <f t="shared" si="162"/>
        <v>2.3625000000000002E-5</v>
      </c>
      <c r="BO103" s="538">
        <f t="shared" si="198"/>
        <v>0.15934758511602923</v>
      </c>
      <c r="BP103" s="469">
        <f t="shared" si="180"/>
        <v>159.34758511602922</v>
      </c>
      <c r="BQ103" s="538">
        <f t="shared" si="164"/>
        <v>0.16549024461108544</v>
      </c>
      <c r="BR103" s="538"/>
      <c r="BT103" s="469">
        <f t="shared" si="181"/>
        <v>165.49024461108544</v>
      </c>
      <c r="BU103" s="538">
        <f t="shared" si="165"/>
        <v>6.092277618209698E-3</v>
      </c>
      <c r="BV103" s="538">
        <f t="shared" si="166"/>
        <v>7.1166160689334103E-3</v>
      </c>
      <c r="BW103" s="538">
        <f t="shared" si="167"/>
        <v>0</v>
      </c>
      <c r="BX103" s="538">
        <f t="shared" si="199"/>
        <v>1.4809610415162034E-2</v>
      </c>
      <c r="BY103" s="538">
        <f t="shared" si="169"/>
        <v>1.1847111111111112E-2</v>
      </c>
      <c r="BZ103" s="469">
        <f t="shared" si="182"/>
        <v>26.656721526273145</v>
      </c>
      <c r="CA103" s="177">
        <f t="shared" si="183"/>
        <v>0.3514945512533878</v>
      </c>
      <c r="CB103" s="5">
        <f t="shared" si="184"/>
        <v>3.1360000000000001</v>
      </c>
      <c r="CC103" s="177">
        <f t="shared" si="185"/>
        <v>0.89921287443243114</v>
      </c>
      <c r="CD103" s="5">
        <f t="shared" si="186"/>
        <v>89.921287443243116</v>
      </c>
      <c r="CG103" s="571">
        <f t="shared" si="170"/>
        <v>-50</v>
      </c>
      <c r="CH103">
        <f t="shared" si="171"/>
        <v>-50</v>
      </c>
    </row>
    <row r="104" spans="5:86" ht="13" x14ac:dyDescent="0.3">
      <c r="E104" s="174">
        <v>99</v>
      </c>
      <c r="F104" s="221">
        <f t="shared" si="200"/>
        <v>0.19800000000000001</v>
      </c>
      <c r="G104" s="221"/>
      <c r="H104" s="221">
        <f t="shared" si="187"/>
        <v>3.1680000000000001</v>
      </c>
      <c r="I104" s="551">
        <f t="shared" si="121"/>
        <v>32</v>
      </c>
      <c r="J104" s="176">
        <f t="shared" si="122"/>
        <v>19.584</v>
      </c>
      <c r="K104" s="451">
        <f t="shared" si="123"/>
        <v>51.584000000000003</v>
      </c>
      <c r="L104" s="451"/>
      <c r="M104" s="221">
        <f t="shared" si="124"/>
        <v>0.37965260545905705</v>
      </c>
      <c r="N104" s="176">
        <f t="shared" si="188"/>
        <v>8.200496277915633</v>
      </c>
      <c r="O104" s="176">
        <f t="shared" si="173"/>
        <v>3.1680000000000001</v>
      </c>
      <c r="P104" s="221">
        <f t="shared" si="189"/>
        <v>0.51253101736972706</v>
      </c>
      <c r="Q104" s="221">
        <f t="shared" si="127"/>
        <v>16</v>
      </c>
      <c r="R104" s="221">
        <f t="shared" si="190"/>
        <v>0.56947890818858549</v>
      </c>
      <c r="S104" s="176">
        <f t="shared" si="129"/>
        <v>82.527243236339331</v>
      </c>
      <c r="T104" s="542">
        <f t="shared" si="191"/>
        <v>16</v>
      </c>
      <c r="U104" s="221">
        <f t="shared" si="131"/>
        <v>0.57947712418300656</v>
      </c>
      <c r="V104" s="221">
        <f t="shared" si="192"/>
        <v>0.5432598039215687</v>
      </c>
      <c r="W104" s="221">
        <f t="shared" si="133"/>
        <v>0.88767941817249796</v>
      </c>
      <c r="X104" s="201">
        <f t="shared" si="134"/>
        <v>350</v>
      </c>
      <c r="Y104" s="451">
        <f t="shared" si="174"/>
        <v>350</v>
      </c>
      <c r="AA104" s="221">
        <f t="shared" si="135"/>
        <v>1.1570365118752215</v>
      </c>
      <c r="AB104" s="177">
        <f t="shared" si="193"/>
        <v>1.7724211272598367</v>
      </c>
      <c r="AC104" s="177">
        <f t="shared" si="194"/>
        <v>0.4306587513183206</v>
      </c>
      <c r="AD104" s="177"/>
      <c r="AE104" s="177">
        <f t="shared" si="138"/>
        <v>0.4595588235294118</v>
      </c>
      <c r="AF104" s="555">
        <f t="shared" si="195"/>
        <v>2393.6000000000004</v>
      </c>
      <c r="AG104" s="538">
        <f t="shared" si="140"/>
        <v>2.8952205882352939E-2</v>
      </c>
      <c r="AI104" s="177">
        <f t="shared" si="141"/>
        <v>0.82697382926288199</v>
      </c>
      <c r="AJ104" s="177">
        <f t="shared" si="196"/>
        <v>0.82697382926288199</v>
      </c>
      <c r="AK104" s="177">
        <f t="shared" si="197"/>
        <v>1.5513158861752547</v>
      </c>
      <c r="AM104" s="555">
        <f t="shared" si="144"/>
        <v>198</v>
      </c>
      <c r="AN104" s="469">
        <f t="shared" si="145"/>
        <v>350</v>
      </c>
      <c r="AP104">
        <f t="shared" si="146"/>
        <v>198</v>
      </c>
      <c r="AQ104">
        <f t="shared" si="147"/>
        <v>350</v>
      </c>
      <c r="AS104" s="5">
        <f t="shared" si="175"/>
        <v>2.8571428571428572</v>
      </c>
      <c r="AT104" s="5">
        <f t="shared" si="148"/>
        <v>0.7752879649339518</v>
      </c>
      <c r="AU104" s="5">
        <f t="shared" si="176"/>
        <v>2.0818548922089053</v>
      </c>
      <c r="AV104" s="5">
        <f t="shared" si="149"/>
        <v>1.2668104002188756</v>
      </c>
      <c r="AW104" s="177">
        <f t="shared" si="177"/>
        <v>0.27135078772688315</v>
      </c>
      <c r="AX104" s="177">
        <f t="shared" si="150"/>
        <v>3.5904000000000007</v>
      </c>
      <c r="AY104" s="177">
        <f t="shared" si="151"/>
        <v>0.36154429755772921</v>
      </c>
      <c r="AZ104" s="177">
        <f t="shared" si="178"/>
        <v>9.9307333133271367</v>
      </c>
      <c r="BA104" s="469">
        <f t="shared" si="152"/>
        <v>6.273549245269658</v>
      </c>
      <c r="BB104" s="469">
        <f t="shared" si="153"/>
        <v>1.85643414</v>
      </c>
      <c r="BC104" s="5">
        <f t="shared" si="154"/>
        <v>0.14312752383936223</v>
      </c>
      <c r="BD104" s="469">
        <f t="shared" si="155"/>
        <v>23.230403814297958</v>
      </c>
      <c r="BE104" s="5"/>
      <c r="BF104" s="177">
        <f t="shared" si="179"/>
        <v>0.24871196679867169</v>
      </c>
      <c r="BG104" s="177">
        <f t="shared" si="156"/>
        <v>0.48907068789652414</v>
      </c>
      <c r="BH104" s="177"/>
      <c r="BI104" s="538">
        <f t="shared" si="157"/>
        <v>2.1650174850102247E-2</v>
      </c>
      <c r="BJ104" s="538">
        <f t="shared" si="158"/>
        <v>7.4652581515218891E-2</v>
      </c>
      <c r="BK104" s="538">
        <f t="shared" si="159"/>
        <v>4.3749999999999995E-3</v>
      </c>
      <c r="BL104" s="538">
        <f t="shared" si="160"/>
        <v>4.6565908480000008E-2</v>
      </c>
      <c r="BM104">
        <f t="shared" si="161"/>
        <v>9.2800000000000001E-3</v>
      </c>
      <c r="BN104">
        <f t="shared" si="162"/>
        <v>2.3625000000000002E-5</v>
      </c>
      <c r="BO104" s="538">
        <f t="shared" si="198"/>
        <v>0.16010961446194327</v>
      </c>
      <c r="BP104" s="469">
        <f t="shared" si="180"/>
        <v>160.10961446194327</v>
      </c>
      <c r="BQ104" s="538">
        <f t="shared" si="164"/>
        <v>0.16700663262415932</v>
      </c>
      <c r="BR104" s="538"/>
      <c r="BT104" s="469">
        <f t="shared" si="181"/>
        <v>167.00663262415932</v>
      </c>
      <c r="BU104" s="538">
        <f t="shared" si="165"/>
        <v>6.1857642428863567E-3</v>
      </c>
      <c r="BV104" s="538">
        <f t="shared" si="166"/>
        <v>7.1757041327873789E-3</v>
      </c>
      <c r="BW104" s="538">
        <f t="shared" si="167"/>
        <v>0</v>
      </c>
      <c r="BX104" s="538">
        <f t="shared" si="199"/>
        <v>1.4980857881460474E-2</v>
      </c>
      <c r="BY104" s="538">
        <f t="shared" si="169"/>
        <v>1.1968000000000003E-2</v>
      </c>
      <c r="BZ104" s="469">
        <f t="shared" si="182"/>
        <v>26.948857881460476</v>
      </c>
      <c r="CA104" s="177">
        <f t="shared" si="183"/>
        <v>0.35406510496756305</v>
      </c>
      <c r="CB104" s="5">
        <f t="shared" si="184"/>
        <v>3.1680000000000001</v>
      </c>
      <c r="CC104" s="177">
        <f t="shared" si="185"/>
        <v>0.89947229979701815</v>
      </c>
      <c r="CD104" s="5">
        <f t="shared" si="186"/>
        <v>89.947229979701817</v>
      </c>
      <c r="CG104" s="571">
        <f t="shared" si="170"/>
        <v>-50</v>
      </c>
      <c r="CH104">
        <f t="shared" si="171"/>
        <v>-50</v>
      </c>
    </row>
    <row r="105" spans="5:86" ht="13" x14ac:dyDescent="0.3">
      <c r="E105" s="174">
        <v>100</v>
      </c>
      <c r="F105" s="221">
        <f t="shared" si="200"/>
        <v>0.2</v>
      </c>
      <c r="G105" s="221"/>
      <c r="H105" s="221">
        <f t="shared" si="187"/>
        <v>3.2</v>
      </c>
      <c r="I105" s="551">
        <f t="shared" si="121"/>
        <v>32</v>
      </c>
      <c r="J105" s="176">
        <f t="shared" si="122"/>
        <v>19.584</v>
      </c>
      <c r="K105" s="451">
        <f t="shared" si="123"/>
        <v>51.584000000000003</v>
      </c>
      <c r="L105" s="451"/>
      <c r="M105" s="221">
        <f t="shared" si="124"/>
        <v>0.37965260545905705</v>
      </c>
      <c r="N105" s="176">
        <f t="shared" si="188"/>
        <v>8.200496277915633</v>
      </c>
      <c r="O105" s="176">
        <f t="shared" si="173"/>
        <v>3.2</v>
      </c>
      <c r="P105" s="221">
        <f t="shared" si="189"/>
        <v>0.51253101736972706</v>
      </c>
      <c r="Q105" s="221">
        <f t="shared" si="127"/>
        <v>16</v>
      </c>
      <c r="R105" s="221">
        <f t="shared" si="190"/>
        <v>0.56947890818858549</v>
      </c>
      <c r="S105" s="176">
        <f t="shared" si="129"/>
        <v>81.437706776153789</v>
      </c>
      <c r="T105" s="542">
        <f t="shared" si="191"/>
        <v>16</v>
      </c>
      <c r="U105" s="221">
        <f t="shared" si="131"/>
        <v>0.58533042846768346</v>
      </c>
      <c r="V105" s="221">
        <f t="shared" si="192"/>
        <v>0.54874727668845324</v>
      </c>
      <c r="W105" s="221">
        <f t="shared" si="133"/>
        <v>0.896645876941917</v>
      </c>
      <c r="X105" s="201">
        <f t="shared" si="134"/>
        <v>350</v>
      </c>
      <c r="Y105" s="451">
        <f t="shared" si="174"/>
        <v>350</v>
      </c>
      <c r="AA105" s="221">
        <f t="shared" si="135"/>
        <v>1.1570365118752215</v>
      </c>
      <c r="AB105" s="177">
        <f t="shared" si="193"/>
        <v>1.7724211272598367</v>
      </c>
      <c r="AC105" s="177">
        <f t="shared" si="194"/>
        <v>0.4306587513183206</v>
      </c>
      <c r="AD105" s="177"/>
      <c r="AE105" s="177">
        <f t="shared" si="138"/>
        <v>0.4595588235294118</v>
      </c>
      <c r="AF105" s="555">
        <f t="shared" si="195"/>
        <v>2417.7777777777778</v>
      </c>
      <c r="AG105" s="538">
        <f t="shared" si="140"/>
        <v>2.8952205882352939E-2</v>
      </c>
      <c r="AI105" s="177">
        <f t="shared" si="141"/>
        <v>0.83113997063891154</v>
      </c>
      <c r="AJ105" s="177">
        <f t="shared" si="196"/>
        <v>0.83113997063891154</v>
      </c>
      <c r="AK105" s="177">
        <f t="shared" si="197"/>
        <v>1.5540933137592743</v>
      </c>
      <c r="AM105" s="555">
        <f t="shared" si="144"/>
        <v>200</v>
      </c>
      <c r="AN105" s="469">
        <f t="shared" si="145"/>
        <v>350</v>
      </c>
      <c r="AP105">
        <f t="shared" si="146"/>
        <v>200</v>
      </c>
      <c r="AQ105" s="3">
        <f t="shared" si="147"/>
        <v>350</v>
      </c>
      <c r="AS105" s="5">
        <f t="shared" si="175"/>
        <v>2.8571428571428572</v>
      </c>
      <c r="AT105" s="5">
        <f t="shared" si="148"/>
        <v>0.77919372247397956</v>
      </c>
      <c r="AU105" s="5">
        <f t="shared" si="176"/>
        <v>2.0779491346688777</v>
      </c>
      <c r="AV105" s="5">
        <f t="shared" si="149"/>
        <v>1.273192356983627</v>
      </c>
      <c r="AW105" s="177">
        <f t="shared" si="177"/>
        <v>0.27271780286589281</v>
      </c>
      <c r="AX105" s="177">
        <f t="shared" si="150"/>
        <v>3.6266666666666665</v>
      </c>
      <c r="AY105" s="177">
        <f t="shared" si="151"/>
        <v>0.36268398238334693</v>
      </c>
      <c r="AZ105" s="177">
        <f t="shared" si="178"/>
        <v>9.9995225673721109</v>
      </c>
      <c r="BA105" s="469">
        <f t="shared" si="152"/>
        <v>6.273549245269658</v>
      </c>
      <c r="BB105" s="469">
        <f t="shared" si="153"/>
        <v>1.8880666666666668</v>
      </c>
      <c r="BC105" s="5">
        <f t="shared" si="154"/>
        <v>0.14430202324089428</v>
      </c>
      <c r="BD105" s="469">
        <f t="shared" si="155"/>
        <v>23.421657051876423</v>
      </c>
      <c r="BE105" s="5"/>
      <c r="BF105" s="177">
        <f t="shared" si="179"/>
        <v>0.25059377930437754</v>
      </c>
      <c r="BG105" s="177">
        <f t="shared" si="156"/>
        <v>0.49107323646828765</v>
      </c>
      <c r="BH105" s="177"/>
      <c r="BI105" s="538">
        <f t="shared" si="157"/>
        <v>2.1979034779117879E-2</v>
      </c>
      <c r="BJ105" s="538">
        <f t="shared" si="158"/>
        <v>7.5028667429515819E-2</v>
      </c>
      <c r="BK105" s="538">
        <f t="shared" si="159"/>
        <v>4.3749999999999995E-3</v>
      </c>
      <c r="BL105" s="538">
        <f t="shared" si="160"/>
        <v>4.6565908480000008E-2</v>
      </c>
      <c r="BM105">
        <f t="shared" si="161"/>
        <v>9.2800000000000001E-3</v>
      </c>
      <c r="BN105">
        <f t="shared" si="162"/>
        <v>2.3625000000000002E-5</v>
      </c>
      <c r="BO105" s="538">
        <f t="shared" si="198"/>
        <v>0.16087176159877717</v>
      </c>
      <c r="BP105" s="469">
        <f t="shared" si="180"/>
        <v>160.87176159877717</v>
      </c>
      <c r="BQ105" s="538">
        <f t="shared" si="164"/>
        <v>0.16852041680581764</v>
      </c>
      <c r="BR105" s="538"/>
      <c r="BT105" s="469">
        <f t="shared" si="181"/>
        <v>168.52041680581763</v>
      </c>
      <c r="BU105" s="538">
        <f t="shared" si="165"/>
        <v>6.2797242226051084E-3</v>
      </c>
      <c r="BV105" s="538">
        <f t="shared" si="166"/>
        <v>7.2345877072631628E-3</v>
      </c>
      <c r="BW105" s="538">
        <f t="shared" si="167"/>
        <v>0</v>
      </c>
      <c r="BX105" s="538">
        <f t="shared" si="199"/>
        <v>1.5152411314491961E-2</v>
      </c>
      <c r="BY105" s="538">
        <f t="shared" si="169"/>
        <v>1.2088888888888889E-2</v>
      </c>
      <c r="BZ105" s="469">
        <f t="shared" si="182"/>
        <v>27.241300203380849</v>
      </c>
      <c r="CA105" s="177">
        <f t="shared" si="183"/>
        <v>0.35663347860797562</v>
      </c>
      <c r="CB105" s="5">
        <f t="shared" si="184"/>
        <v>3.2</v>
      </c>
      <c r="CC105" s="177">
        <f t="shared" si="185"/>
        <v>0.89972723342087035</v>
      </c>
      <c r="CD105" s="5">
        <f t="shared" si="186"/>
        <v>89.972723342087036</v>
      </c>
      <c r="CG105" s="571">
        <f t="shared" si="170"/>
        <v>-50</v>
      </c>
      <c r="CH105">
        <f t="shared" si="171"/>
        <v>-50</v>
      </c>
    </row>
    <row r="106" spans="5:86" ht="13" x14ac:dyDescent="0.3">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5">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ht="13" x14ac:dyDescent="0.3">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0.31641702127659577</v>
      </c>
    </row>
    <row r="109" spans="5:86" ht="45" customHeight="1" thickBot="1" x14ac:dyDescent="0.3">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5">
      <c r="E110" s="174">
        <v>0.1</v>
      </c>
      <c r="F110" s="221">
        <v>1.0000000000000001E-9</v>
      </c>
      <c r="G110" s="221"/>
      <c r="H110" s="221">
        <f t="shared" ref="H110:H141" si="201">F110*Vout</f>
        <v>1.6000000000000001E-8</v>
      </c>
      <c r="I110" s="551">
        <f t="shared" ref="I110:I141" si="202">VIN_min</f>
        <v>12</v>
      </c>
      <c r="J110" s="451">
        <f t="shared" ref="J110:J141" si="203">(T110+Vfwd1)*Nps</f>
        <v>19.584</v>
      </c>
      <c r="K110" s="451">
        <f t="shared" ref="K110:K141" si="204">(Vout+Vfwd1)*Nps+I110</f>
        <v>31.584</v>
      </c>
      <c r="L110" s="451"/>
      <c r="M110" s="221">
        <f t="shared" ref="M110:M141" si="205">(Vout+Vfwd1)*Nps/((Vout+Vfwd1)*Nps+I110)</f>
        <v>0.62006079027355621</v>
      </c>
      <c r="N110" s="176">
        <f t="shared" ref="N110:N141" si="206">M110*I110*(Isw_max+VIN_min/Lmag*ILIM_delay)*0.5*Efficiency</f>
        <v>5.0626723404255323</v>
      </c>
      <c r="O110" s="176">
        <f t="shared" si="173"/>
        <v>1.6000000000000001E-8</v>
      </c>
      <c r="P110" s="221">
        <f t="shared" ref="P110:P141" si="207">N110/Vout</f>
        <v>0.31641702127659577</v>
      </c>
      <c r="Q110" s="221">
        <f t="shared" ref="Q110:Q141" si="208">MIN(Vout,N110/F110)</f>
        <v>16</v>
      </c>
      <c r="R110" s="221"/>
      <c r="S110" s="176">
        <f t="shared" ref="S110:S141" si="209">(SQRT(Isw_max^2*Nps^2*I110^2+4*Isw_max*F110/Efficiency*(Nps^2*Vfwd1*I110-Nps*I110^2)+4*(F110/Efficiency)^2*Nps^2*Vfwd1^2+8*(F110/Efficiency)^2*Nps*Vfwd1*I110+4*(F110/Efficiency)^2*I110^2)-2*F110/Efficiency*I110-2*F110/Efficiency*Nps*Vfwd1+Isw_max*Nps*I110)/(4*F110/Efficiency*Nps)</f>
        <v>8099999990</v>
      </c>
      <c r="T110" s="176">
        <f t="shared" ref="T110:T141" si="210">MIN(Vout, S110)</f>
        <v>16</v>
      </c>
      <c r="U110" s="221">
        <f t="shared" ref="U110:U141" si="211">MIN(2*Vout*F110/(Efficiency*I110*M110), Isw_max)</f>
        <v>4.7785039941902689E-9</v>
      </c>
      <c r="V110" s="221">
        <f t="shared" ref="V110:V141" si="212">L*U110/I110*1000000</f>
        <v>1.1946259985475671E-8</v>
      </c>
      <c r="W110" s="221">
        <f t="shared" ref="W110:W141" si="213">L*U110/J110*1000000</f>
        <v>7.3200122460022503E-9</v>
      </c>
      <c r="X110" s="201">
        <f t="shared" ref="X110:X141" si="214">IF(1/((350000*L)*(1/I110+1/J110))&gt;Isw_min, 350, 0.001/((Isw_min*L)*(1/I110+1/J110)))</f>
        <v>350</v>
      </c>
      <c r="Y110" s="451">
        <f t="shared" ref="Y110:Y169" si="215">MIN(1/(V110+W110)*1000, 350)</f>
        <v>350</v>
      </c>
      <c r="AA110" s="221">
        <f t="shared" ref="AA110:AA141" si="216">1/((X110*1000*L)*(1/I110+1/J110))</f>
        <v>0.70864090316977857</v>
      </c>
      <c r="AB110" s="177">
        <f t="shared" ref="AB110:AB141" si="217">L*AA110/J110*1000000</f>
        <v>1.0855405992184108</v>
      </c>
      <c r="AC110" s="177">
        <f t="shared" ref="AC110:AC141" si="218">0.5*AB110*AA110*Nps*X110/1000</f>
        <v>0.16154427883809541</v>
      </c>
      <c r="AD110" s="177"/>
      <c r="AE110" s="177">
        <f t="shared" ref="AE110:AE141" si="219">L*Isw_min/J110*1000000</f>
        <v>0.4595588235294118</v>
      </c>
      <c r="AF110" s="555">
        <f t="shared" ref="AF110:AF141" si="220">MAX(12000,F110/(0.5*AE110/1000000*Isw_min*Nps))/1000</f>
        <v>12</v>
      </c>
      <c r="AG110" s="538">
        <f t="shared" ref="AG110:AG141" si="221">0.5*AE110/1000000*Isw_min*Nps*X110*1000</f>
        <v>2.8952205882352939E-2</v>
      </c>
      <c r="AI110" s="177">
        <f t="shared" ref="AI110:AI141" si="222">SQRT(F110/(0.5*L/J110*Fsw_DCM*Nps))</f>
        <v>5.5754564194973565E-5</v>
      </c>
      <c r="AJ110" s="177">
        <f t="shared" ref="AJ110:AJ141" si="223">MAX(IF(F110&gt;AC110,U110,AI110),Isw_min)</f>
        <v>0.3</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0.75</v>
      </c>
      <c r="AU110" s="5">
        <f t="shared" ref="AU110:AU169" si="230">AS110-AT110</f>
        <v>82.583333333333329</v>
      </c>
      <c r="AV110" s="5"/>
      <c r="AW110" s="177">
        <f t="shared" ref="AW110:AW169" si="231">AT110/AS110</f>
        <v>9.0000000000000011E-3</v>
      </c>
      <c r="AX110" s="177">
        <f t="shared" si="150"/>
        <v>1.6199999999999999E-2</v>
      </c>
      <c r="AY110" s="177">
        <f t="shared" si="151"/>
        <v>0.17837999999999998</v>
      </c>
      <c r="AZ110" s="177">
        <f t="shared" si="178"/>
        <v>9.0817356205852684E-2</v>
      </c>
      <c r="BA110" s="469">
        <f t="shared" ref="BA110:BA141" si="232">L*Isw_max^2/(2*Vout_ripple*Vout)*1000000000*((1+M110)/2)^2</f>
        <v>8.6504050333139713</v>
      </c>
      <c r="BB110" s="469">
        <f t="shared" ref="BB110:BB141" si="233">L*F110^2/(2*Cout*Vout*Nps^2)*1000000000*((1+M110)/(1-M110))^2+F110*RCoutEsr</f>
        <v>3.0000001183704171E-9</v>
      </c>
      <c r="BC110" s="5">
        <f t="shared" ref="BC110:BC116" si="234">H110/Efficiency/I110*AU110/Vinripple1</f>
        <v>7.6466049382716032E-8</v>
      </c>
      <c r="BD110" s="469">
        <f t="shared" ref="BD110:BD141" si="235">((CB110/I110/Efficiency)*AU110/Cin+(CB110/I110/Efficiency)*RCinEsr)*1000</f>
        <v>1.2239012345679015E-5</v>
      </c>
      <c r="BF110" s="177">
        <f t="shared" si="179"/>
        <v>1.6431676725154984E-2</v>
      </c>
      <c r="BG110" s="177">
        <f t="shared" si="156"/>
        <v>0.20690867550685252</v>
      </c>
      <c r="BI110" s="538">
        <f t="shared" ref="BI110:BI169" si="236">Rdson*BF110^2</f>
        <v>9.4499999999999993E-5</v>
      </c>
      <c r="BJ110" s="538">
        <f t="shared" ref="BJ110:BJ169" si="237">0.5*K110*AJ110*AN110*1000*Trise</f>
        <v>5.6851199999999986E-4</v>
      </c>
      <c r="BK110" s="538">
        <f t="shared" ref="BK110:BK169" si="238">Qg*Vdd*AN110*1000</f>
        <v>1.4999999999999999E-4</v>
      </c>
      <c r="BL110" s="538">
        <f t="shared" ref="BL110:BL169" si="239">0.5*(Coss+Csw)*K110^2*AN110*1000</f>
        <v>5.9852943360000008E-4</v>
      </c>
      <c r="BM110">
        <f t="shared" ref="BM110:BM169" si="240">I110*IQ</f>
        <v>3.48E-3</v>
      </c>
      <c r="BN110">
        <f t="shared" ref="BN110:BN141" si="241">(I110-Vdd)*Qg*AN110</f>
        <v>2.1E-7</v>
      </c>
      <c r="BO110" s="538">
        <f t="shared" ref="BO110:BO141" si="242">(BJ110+BK110+BL110+BM110+BN110+BI110*(1+RdsonTC*(Ta-25)))/(1-BI110*RdsonTC*ThetaJA)</f>
        <v>4.9045944464303215E-3</v>
      </c>
      <c r="BP110" s="469">
        <f t="shared" ref="BP110:BP169" si="243">SUM(BI110:BM110)*1000</f>
        <v>4.8915414335999996</v>
      </c>
      <c r="BQ110" s="538">
        <f t="shared" ref="BQ110:BQ141" si="244">(Vfwd2*F110+BG110^2*Rdiode)*(1+Diode_TC/1000*(Ta-25))</f>
        <v>1.6353878781999998E-2</v>
      </c>
      <c r="BT110" s="469">
        <f t="shared" ref="BT110:BT169" si="245">SUM(BQ110:BS110)*1000</f>
        <v>16.353878781999999</v>
      </c>
      <c r="BU110" s="538">
        <f t="shared" ref="BU110:BU169" si="246">Rdcr_pri*BF110^2</f>
        <v>2.7000000000000002E-5</v>
      </c>
      <c r="BV110" s="538">
        <f t="shared" ref="BV110:BV169" si="247">Rdcr_sec*BG110^2</f>
        <v>1.2843359999999999E-3</v>
      </c>
      <c r="BW110" s="538">
        <f t="shared" ref="BW110:BW169" si="248">AJ110^2.5*AN110^2.5*k_core</f>
        <v>0</v>
      </c>
      <c r="BX110" s="538"/>
      <c r="BY110" s="538">
        <f t="shared" ref="BY110:BY169" si="249">0.5*Lleak*0.000000001*AJ110^2*AN110*1000</f>
        <v>5.4000000000000005E-5</v>
      </c>
      <c r="BZ110" s="469">
        <f t="shared" ref="BZ110:BZ169" si="250">SUM(BU110:BY110)*1000</f>
        <v>1.3653359999999997</v>
      </c>
      <c r="CA110" s="177">
        <f t="shared" ref="CA110:CA169" si="251">SUM(BI110:BM110,BQ110:BS110,BU110:BY110)</f>
        <v>2.2610756215599995E-2</v>
      </c>
      <c r="CB110" s="5">
        <f t="shared" ref="CB110:CB169" si="252">MIN(H110,O110)</f>
        <v>1.6000000000000001E-8</v>
      </c>
      <c r="CC110" s="177">
        <f t="shared" ref="CC110:CC169" si="253">CB110/(CB110+CA110)</f>
        <v>7.0762731354044682E-7</v>
      </c>
      <c r="CD110" s="5">
        <f t="shared" ref="CD110:CD169" si="254">CC110*100</f>
        <v>7.0762731354044679E-5</v>
      </c>
      <c r="CG110" s="571">
        <f t="shared" ref="CG110:CG141" si="255">IF(ABS(F110-Ioutmax_Vinmin)&lt;Iout/200, AN110, -50)</f>
        <v>-50</v>
      </c>
      <c r="CH110">
        <f t="shared" ref="CH110:CH141" si="256">IF(ABS(F110-Ioutmax_Vinmin)&lt;Iout/200, N110*CC110, -50)</f>
        <v>-50</v>
      </c>
    </row>
    <row r="111" spans="5:86" x14ac:dyDescent="0.25">
      <c r="E111" s="174">
        <v>1</v>
      </c>
      <c r="F111" s="221">
        <f t="shared" ref="F111:F142" si="257">IF(PLOT_TYPE=1, E111/100*Iout_max, min_I*EXP(N111*rr/100))</f>
        <v>2E-3</v>
      </c>
      <c r="G111" s="221"/>
      <c r="H111" s="221">
        <f t="shared" si="201"/>
        <v>3.2000000000000001E-2</v>
      </c>
      <c r="I111" s="551">
        <f t="shared" si="202"/>
        <v>12</v>
      </c>
      <c r="J111" s="451">
        <f t="shared" si="203"/>
        <v>19.584</v>
      </c>
      <c r="K111" s="451">
        <f t="shared" si="204"/>
        <v>31.584</v>
      </c>
      <c r="L111" s="451"/>
      <c r="M111" s="221">
        <f t="shared" si="205"/>
        <v>0.62006079027355621</v>
      </c>
      <c r="N111" s="176">
        <f t="shared" si="206"/>
        <v>5.0626723404255323</v>
      </c>
      <c r="O111" s="176">
        <f t="shared" si="173"/>
        <v>3.2000000000000001E-2</v>
      </c>
      <c r="P111" s="221">
        <f t="shared" si="207"/>
        <v>0.31641702127659577</v>
      </c>
      <c r="Q111" s="221">
        <f t="shared" si="208"/>
        <v>16</v>
      </c>
      <c r="R111" s="221"/>
      <c r="S111" s="176">
        <f t="shared" si="209"/>
        <v>4040.000792016318</v>
      </c>
      <c r="T111" s="176">
        <f t="shared" si="210"/>
        <v>16</v>
      </c>
      <c r="U111" s="221">
        <f t="shared" si="211"/>
        <v>9.5570079883805364E-3</v>
      </c>
      <c r="V111" s="221">
        <f t="shared" si="212"/>
        <v>2.3892519970951341E-2</v>
      </c>
      <c r="W111" s="221">
        <f t="shared" si="213"/>
        <v>1.4640024492004499E-2</v>
      </c>
      <c r="X111" s="201">
        <f t="shared" si="214"/>
        <v>350</v>
      </c>
      <c r="Y111" s="451">
        <f t="shared" si="215"/>
        <v>350</v>
      </c>
      <c r="AA111" s="221">
        <f t="shared" si="216"/>
        <v>0.70864090316977857</v>
      </c>
      <c r="AB111" s="177">
        <f t="shared" si="217"/>
        <v>1.0855405992184108</v>
      </c>
      <c r="AC111" s="177">
        <f t="shared" si="218"/>
        <v>0.16154427883809541</v>
      </c>
      <c r="AD111" s="177"/>
      <c r="AE111" s="177">
        <f t="shared" si="219"/>
        <v>0.4595588235294118</v>
      </c>
      <c r="AF111" s="555">
        <f t="shared" si="220"/>
        <v>24.177777777777781</v>
      </c>
      <c r="AG111" s="538">
        <f t="shared" si="221"/>
        <v>2.8952205882352939E-2</v>
      </c>
      <c r="AI111" s="177">
        <f t="shared" si="222"/>
        <v>7.884886084873298E-2</v>
      </c>
      <c r="AJ111" s="177">
        <f t="shared" si="223"/>
        <v>0.3</v>
      </c>
      <c r="AK111" s="177">
        <f t="shared" si="224"/>
        <v>1.0138158730158731</v>
      </c>
      <c r="AM111" s="555">
        <f t="shared" si="225"/>
        <v>2</v>
      </c>
      <c r="AN111" s="469">
        <f t="shared" si="226"/>
        <v>24.177777777777781</v>
      </c>
      <c r="AP111" s="469">
        <f t="shared" si="227"/>
        <v>2</v>
      </c>
      <c r="AQ111" s="469">
        <f t="shared" si="228"/>
        <v>24.177777777777781</v>
      </c>
      <c r="AS111" s="5">
        <f t="shared" si="175"/>
        <v>41.360294117647051</v>
      </c>
      <c r="AT111" s="5">
        <f t="shared" si="229"/>
        <v>0.75</v>
      </c>
      <c r="AU111" s="5">
        <f t="shared" si="230"/>
        <v>40.610294117647051</v>
      </c>
      <c r="AV111" s="5"/>
      <c r="AW111" s="177">
        <f t="shared" si="231"/>
        <v>1.8133333333333338E-2</v>
      </c>
      <c r="AX111" s="177">
        <f t="shared" si="150"/>
        <v>3.2640000000000009E-2</v>
      </c>
      <c r="AY111" s="177">
        <f t="shared" si="151"/>
        <v>0.176736</v>
      </c>
      <c r="AZ111" s="177">
        <f t="shared" si="178"/>
        <v>0.18468223791417712</v>
      </c>
      <c r="BA111" s="469">
        <f t="shared" si="232"/>
        <v>8.6504050333139713</v>
      </c>
      <c r="BB111" s="469">
        <f t="shared" si="233"/>
        <v>6.4734816666666669E-3</v>
      </c>
      <c r="BC111" s="5">
        <f t="shared" si="234"/>
        <v>7.5204248366013041E-2</v>
      </c>
      <c r="BD111" s="469">
        <f t="shared" si="235"/>
        <v>12.041568627450976</v>
      </c>
      <c r="BF111" s="177">
        <f t="shared" si="179"/>
        <v>2.3323807579381205E-2</v>
      </c>
      <c r="BG111" s="177">
        <f t="shared" si="156"/>
        <v>0.20595300434807937</v>
      </c>
      <c r="BI111" s="538">
        <f t="shared" si="236"/>
        <v>1.9040000000000002E-4</v>
      </c>
      <c r="BJ111" s="538">
        <f t="shared" si="237"/>
        <v>1.1454464E-3</v>
      </c>
      <c r="BK111" s="538">
        <f t="shared" si="238"/>
        <v>3.0222222222222223E-4</v>
      </c>
      <c r="BL111" s="538">
        <f t="shared" si="239"/>
        <v>1.2059259699200003E-3</v>
      </c>
      <c r="BM111">
        <f t="shared" si="240"/>
        <v>3.48E-3</v>
      </c>
      <c r="BN111">
        <f t="shared" si="241"/>
        <v>4.2311111111111118E-7</v>
      </c>
      <c r="BO111" s="538">
        <f t="shared" si="242"/>
        <v>6.3503447832451553E-3</v>
      </c>
      <c r="BP111" s="469">
        <f t="shared" si="243"/>
        <v>6.3239945921422223</v>
      </c>
      <c r="BQ111" s="538">
        <f t="shared" si="244"/>
        <v>1.6967156480000002E-2</v>
      </c>
      <c r="BT111" s="469">
        <f t="shared" si="245"/>
        <v>16.967156480000003</v>
      </c>
      <c r="BU111" s="538">
        <f t="shared" si="246"/>
        <v>5.4400000000000014E-5</v>
      </c>
      <c r="BV111" s="538">
        <f t="shared" si="247"/>
        <v>1.2724991999999999E-3</v>
      </c>
      <c r="BW111" s="538">
        <f t="shared" si="248"/>
        <v>0</v>
      </c>
      <c r="BX111" s="538"/>
      <c r="BY111" s="538">
        <f t="shared" si="249"/>
        <v>1.0880000000000002E-4</v>
      </c>
      <c r="BZ111" s="469">
        <f t="shared" si="250"/>
        <v>1.4356992</v>
      </c>
      <c r="CA111" s="177">
        <f t="shared" si="251"/>
        <v>2.4726850272142224E-2</v>
      </c>
      <c r="CB111" s="5">
        <f t="shared" si="252"/>
        <v>3.2000000000000001E-2</v>
      </c>
      <c r="CC111" s="177">
        <f t="shared" si="253"/>
        <v>0.56410676507655078</v>
      </c>
      <c r="CD111" s="5">
        <f t="shared" si="254"/>
        <v>56.410676507655076</v>
      </c>
      <c r="CG111" s="571">
        <f t="shared" si="255"/>
        <v>-50</v>
      </c>
      <c r="CH111">
        <f t="shared" si="256"/>
        <v>-50</v>
      </c>
    </row>
    <row r="112" spans="5:86" x14ac:dyDescent="0.25">
      <c r="E112" s="174">
        <v>2</v>
      </c>
      <c r="F112" s="221">
        <f t="shared" si="257"/>
        <v>4.0000000000000001E-3</v>
      </c>
      <c r="G112" s="221"/>
      <c r="H112" s="221">
        <f t="shared" si="201"/>
        <v>6.4000000000000001E-2</v>
      </c>
      <c r="I112" s="551">
        <f t="shared" si="202"/>
        <v>12</v>
      </c>
      <c r="J112" s="451">
        <f t="shared" si="203"/>
        <v>19.584</v>
      </c>
      <c r="K112" s="451">
        <f t="shared" si="204"/>
        <v>31.584</v>
      </c>
      <c r="L112" s="451"/>
      <c r="M112" s="221">
        <f t="shared" si="205"/>
        <v>0.62006079027355621</v>
      </c>
      <c r="N112" s="176">
        <f t="shared" si="206"/>
        <v>5.0626723404255323</v>
      </c>
      <c r="O112" s="176">
        <f t="shared" si="173"/>
        <v>6.4000000000000001E-2</v>
      </c>
      <c r="P112" s="221">
        <f t="shared" si="207"/>
        <v>0.31641702127659577</v>
      </c>
      <c r="Q112" s="221">
        <f t="shared" si="208"/>
        <v>16</v>
      </c>
      <c r="R112" s="221"/>
      <c r="S112" s="176">
        <f t="shared" si="209"/>
        <v>2015.0015878359161</v>
      </c>
      <c r="T112" s="176">
        <f t="shared" si="210"/>
        <v>16</v>
      </c>
      <c r="U112" s="221">
        <f t="shared" si="211"/>
        <v>1.9114015976761073E-2</v>
      </c>
      <c r="V112" s="221">
        <f t="shared" si="212"/>
        <v>4.7785039941902682E-2</v>
      </c>
      <c r="W112" s="221">
        <f t="shared" si="213"/>
        <v>2.9280048984008999E-2</v>
      </c>
      <c r="X112" s="201">
        <f t="shared" si="214"/>
        <v>350</v>
      </c>
      <c r="Y112" s="451">
        <f t="shared" si="215"/>
        <v>350</v>
      </c>
      <c r="AA112" s="221">
        <f t="shared" si="216"/>
        <v>0.70864090316977857</v>
      </c>
      <c r="AB112" s="177">
        <f t="shared" si="217"/>
        <v>1.0855405992184108</v>
      </c>
      <c r="AC112" s="177">
        <f t="shared" si="218"/>
        <v>0.16154427883809541</v>
      </c>
      <c r="AD112" s="177"/>
      <c r="AE112" s="177">
        <f t="shared" si="219"/>
        <v>0.4595588235294118</v>
      </c>
      <c r="AF112" s="555">
        <f t="shared" si="220"/>
        <v>48.355555555555561</v>
      </c>
      <c r="AG112" s="538">
        <f t="shared" si="221"/>
        <v>2.8952205882352939E-2</v>
      </c>
      <c r="AI112" s="177">
        <f t="shared" si="222"/>
        <v>0.11150912838994713</v>
      </c>
      <c r="AJ112" s="177">
        <f t="shared" si="223"/>
        <v>0.3</v>
      </c>
      <c r="AK112" s="177">
        <f t="shared" si="224"/>
        <v>1.0276317460317461</v>
      </c>
      <c r="AM112" s="555">
        <f t="shared" si="225"/>
        <v>4</v>
      </c>
      <c r="AN112" s="469">
        <f t="shared" si="226"/>
        <v>48.355555555555561</v>
      </c>
      <c r="AP112" s="469">
        <f t="shared" si="227"/>
        <v>4</v>
      </c>
      <c r="AQ112" s="469">
        <f t="shared" si="228"/>
        <v>48.355555555555561</v>
      </c>
      <c r="AS112" s="5">
        <f t="shared" si="175"/>
        <v>20.680147058823525</v>
      </c>
      <c r="AT112" s="5">
        <f t="shared" si="229"/>
        <v>0.75</v>
      </c>
      <c r="AU112" s="5">
        <f t="shared" si="230"/>
        <v>19.930147058823525</v>
      </c>
      <c r="AV112" s="5"/>
      <c r="AW112" s="177">
        <f t="shared" si="231"/>
        <v>3.6266666666666676E-2</v>
      </c>
      <c r="AX112" s="177">
        <f t="shared" si="150"/>
        <v>6.5280000000000019E-2</v>
      </c>
      <c r="AY112" s="177">
        <f t="shared" si="151"/>
        <v>0.17347199999999999</v>
      </c>
      <c r="AZ112" s="177">
        <f t="shared" si="178"/>
        <v>0.37631433314886564</v>
      </c>
      <c r="BA112" s="469">
        <f t="shared" si="232"/>
        <v>8.6504050333139713</v>
      </c>
      <c r="BB112" s="469">
        <f t="shared" si="233"/>
        <v>1.3893926666666667E-2</v>
      </c>
      <c r="BC112" s="5">
        <f t="shared" si="234"/>
        <v>7.3815359477124157E-2</v>
      </c>
      <c r="BD112" s="469">
        <f t="shared" si="235"/>
        <v>11.828235294117645</v>
      </c>
      <c r="BF112" s="177">
        <f t="shared" si="179"/>
        <v>3.2984845004941289E-2</v>
      </c>
      <c r="BG112" s="177">
        <f t="shared" si="156"/>
        <v>0.20404234854558989</v>
      </c>
      <c r="BI112" s="538">
        <f t="shared" si="236"/>
        <v>3.8080000000000004E-4</v>
      </c>
      <c r="BJ112" s="538">
        <f t="shared" si="237"/>
        <v>2.2908927999999999E-3</v>
      </c>
      <c r="BK112" s="538">
        <f t="shared" si="238"/>
        <v>6.0444444444444445E-4</v>
      </c>
      <c r="BL112" s="538">
        <f t="shared" si="239"/>
        <v>2.4118519398400005E-3</v>
      </c>
      <c r="BM112">
        <f t="shared" si="240"/>
        <v>3.48E-3</v>
      </c>
      <c r="BN112">
        <f t="shared" si="241"/>
        <v>8.4622222222222235E-7</v>
      </c>
      <c r="BO112" s="538">
        <f t="shared" si="242"/>
        <v>9.2208912441953447E-3</v>
      </c>
      <c r="BP112" s="469">
        <f t="shared" si="243"/>
        <v>9.1679891842844459</v>
      </c>
      <c r="BQ112" s="538">
        <f t="shared" si="244"/>
        <v>1.743191296E-2</v>
      </c>
      <c r="BT112" s="469">
        <f t="shared" si="245"/>
        <v>17.431912960000002</v>
      </c>
      <c r="BU112" s="538">
        <f t="shared" si="246"/>
        <v>1.0880000000000003E-4</v>
      </c>
      <c r="BV112" s="538">
        <f t="shared" si="247"/>
        <v>1.2489983999999996E-3</v>
      </c>
      <c r="BW112" s="538">
        <f t="shared" si="248"/>
        <v>0</v>
      </c>
      <c r="BX112" s="538"/>
      <c r="BY112" s="538">
        <f t="shared" si="249"/>
        <v>2.1760000000000003E-4</v>
      </c>
      <c r="BZ112" s="469">
        <f t="shared" si="250"/>
        <v>1.5753983999999996</v>
      </c>
      <c r="CA112" s="177">
        <f t="shared" si="251"/>
        <v>2.8175300544284444E-2</v>
      </c>
      <c r="CB112" s="5">
        <f t="shared" si="252"/>
        <v>6.4000000000000001E-2</v>
      </c>
      <c r="CC112" s="177">
        <f t="shared" si="253"/>
        <v>0.69432917085257584</v>
      </c>
      <c r="CD112" s="5">
        <f t="shared" si="254"/>
        <v>69.432917085257586</v>
      </c>
      <c r="CG112" s="571">
        <f t="shared" si="255"/>
        <v>-50</v>
      </c>
      <c r="CH112">
        <f t="shared" si="256"/>
        <v>-50</v>
      </c>
    </row>
    <row r="113" spans="5:86" x14ac:dyDescent="0.25">
      <c r="E113" s="174">
        <v>3</v>
      </c>
      <c r="F113" s="221">
        <f t="shared" si="257"/>
        <v>6.0000000000000001E-3</v>
      </c>
      <c r="G113" s="221"/>
      <c r="H113" s="221">
        <f t="shared" si="201"/>
        <v>9.6000000000000002E-2</v>
      </c>
      <c r="I113" s="551">
        <f t="shared" si="202"/>
        <v>12</v>
      </c>
      <c r="J113" s="451">
        <f t="shared" si="203"/>
        <v>19.584</v>
      </c>
      <c r="K113" s="451">
        <f t="shared" si="204"/>
        <v>31.584</v>
      </c>
      <c r="L113" s="451"/>
      <c r="M113" s="221">
        <f t="shared" si="205"/>
        <v>0.62006079027355621</v>
      </c>
      <c r="N113" s="176">
        <f t="shared" si="206"/>
        <v>5.0626723404255323</v>
      </c>
      <c r="O113" s="176">
        <f t="shared" si="173"/>
        <v>9.6000000000000002E-2</v>
      </c>
      <c r="P113" s="221">
        <f t="shared" si="207"/>
        <v>0.31641702127659577</v>
      </c>
      <c r="Q113" s="221">
        <f t="shared" si="208"/>
        <v>16</v>
      </c>
      <c r="R113" s="221"/>
      <c r="S113" s="176">
        <f t="shared" si="209"/>
        <v>1340.0023874853021</v>
      </c>
      <c r="T113" s="176">
        <f t="shared" si="210"/>
        <v>16</v>
      </c>
      <c r="U113" s="221">
        <f t="shared" si="211"/>
        <v>2.8671023965141609E-2</v>
      </c>
      <c r="V113" s="221">
        <f t="shared" si="212"/>
        <v>7.167755991285403E-2</v>
      </c>
      <c r="W113" s="221">
        <f t="shared" si="213"/>
        <v>4.3920073476013496E-2</v>
      </c>
      <c r="X113" s="201">
        <f t="shared" si="214"/>
        <v>350</v>
      </c>
      <c r="Y113" s="451">
        <f t="shared" si="215"/>
        <v>350</v>
      </c>
      <c r="AA113" s="221">
        <f t="shared" si="216"/>
        <v>0.70864090316977857</v>
      </c>
      <c r="AB113" s="177">
        <f t="shared" si="217"/>
        <v>1.0855405992184108</v>
      </c>
      <c r="AC113" s="177">
        <f t="shared" si="218"/>
        <v>0.16154427883809541</v>
      </c>
      <c r="AD113" s="177"/>
      <c r="AE113" s="177">
        <f t="shared" si="219"/>
        <v>0.4595588235294118</v>
      </c>
      <c r="AF113" s="555">
        <f t="shared" si="220"/>
        <v>72.533333333333346</v>
      </c>
      <c r="AG113" s="538">
        <f t="shared" si="221"/>
        <v>2.8952205882352939E-2</v>
      </c>
      <c r="AI113" s="177">
        <f t="shared" si="222"/>
        <v>0.13657023310893399</v>
      </c>
      <c r="AJ113" s="177">
        <f t="shared" si="223"/>
        <v>0.3</v>
      </c>
      <c r="AK113" s="177">
        <f t="shared" si="224"/>
        <v>1.041447619047619</v>
      </c>
      <c r="AM113" s="555">
        <f t="shared" si="225"/>
        <v>6</v>
      </c>
      <c r="AN113" s="469">
        <f t="shared" si="226"/>
        <v>72.533333333333346</v>
      </c>
      <c r="AP113" s="469">
        <f t="shared" si="227"/>
        <v>6</v>
      </c>
      <c r="AQ113" s="469">
        <f t="shared" si="228"/>
        <v>72.533333333333346</v>
      </c>
      <c r="AS113" s="5">
        <f t="shared" si="175"/>
        <v>13.786764705882351</v>
      </c>
      <c r="AT113" s="5">
        <f t="shared" si="229"/>
        <v>0.75</v>
      </c>
      <c r="AU113" s="5">
        <f t="shared" si="230"/>
        <v>13.036764705882351</v>
      </c>
      <c r="AV113" s="5"/>
      <c r="AW113" s="177">
        <f t="shared" si="231"/>
        <v>5.4400000000000004E-2</v>
      </c>
      <c r="AX113" s="177">
        <f t="shared" si="150"/>
        <v>9.7920000000000007E-2</v>
      </c>
      <c r="AY113" s="177">
        <f t="shared" si="151"/>
        <v>0.170208</v>
      </c>
      <c r="AZ113" s="177">
        <f t="shared" si="178"/>
        <v>0.57529610829103217</v>
      </c>
      <c r="BA113" s="469">
        <f t="shared" si="232"/>
        <v>8.6504050333139713</v>
      </c>
      <c r="BB113" s="469">
        <f t="shared" si="233"/>
        <v>2.2261335E-2</v>
      </c>
      <c r="BC113" s="5">
        <f t="shared" si="234"/>
        <v>7.2426470588235287E-2</v>
      </c>
      <c r="BD113" s="469">
        <f t="shared" si="235"/>
        <v>11.614901960784312</v>
      </c>
      <c r="BF113" s="177">
        <f t="shared" si="179"/>
        <v>4.0398019753448311E-2</v>
      </c>
      <c r="BG113" s="177">
        <f t="shared" si="156"/>
        <v>0.20211363140570207</v>
      </c>
      <c r="BI113" s="538">
        <f t="shared" si="236"/>
        <v>5.7120000000000001E-4</v>
      </c>
      <c r="BJ113" s="538">
        <f t="shared" si="237"/>
        <v>3.4363392000000006E-3</v>
      </c>
      <c r="BK113" s="538">
        <f t="shared" si="238"/>
        <v>9.0666666666666673E-4</v>
      </c>
      <c r="BL113" s="538">
        <f t="shared" si="239"/>
        <v>3.6177779097600008E-3</v>
      </c>
      <c r="BM113">
        <f t="shared" si="240"/>
        <v>3.48E-3</v>
      </c>
      <c r="BN113">
        <f t="shared" si="241"/>
        <v>1.2693333333333337E-6</v>
      </c>
      <c r="BO113" s="538">
        <f t="shared" si="242"/>
        <v>1.2091639404106898E-2</v>
      </c>
      <c r="BP113" s="469">
        <f t="shared" si="243"/>
        <v>12.011983776426668</v>
      </c>
      <c r="BQ113" s="538">
        <f t="shared" si="244"/>
        <v>1.7896669440000002E-2</v>
      </c>
      <c r="BT113" s="469">
        <f t="shared" si="245"/>
        <v>17.896669440000004</v>
      </c>
      <c r="BU113" s="538">
        <f t="shared" si="246"/>
        <v>1.6320000000000001E-4</v>
      </c>
      <c r="BV113" s="538">
        <f t="shared" si="247"/>
        <v>1.2254975999999999E-3</v>
      </c>
      <c r="BW113" s="538">
        <f t="shared" si="248"/>
        <v>0</v>
      </c>
      <c r="BX113" s="538"/>
      <c r="BY113" s="538">
        <f t="shared" si="249"/>
        <v>3.2640000000000013E-4</v>
      </c>
      <c r="BZ113" s="469">
        <f t="shared" si="250"/>
        <v>1.7150976</v>
      </c>
      <c r="CA113" s="177">
        <f t="shared" si="251"/>
        <v>3.1623750816426661E-2</v>
      </c>
      <c r="CB113" s="5">
        <f t="shared" si="252"/>
        <v>9.6000000000000002E-2</v>
      </c>
      <c r="CC113" s="177">
        <f t="shared" si="253"/>
        <v>0.75221108442491946</v>
      </c>
      <c r="CD113" s="5">
        <f t="shared" si="254"/>
        <v>75.221108442491953</v>
      </c>
      <c r="CG113" s="571">
        <f t="shared" si="255"/>
        <v>-50</v>
      </c>
      <c r="CH113">
        <f t="shared" si="256"/>
        <v>-50</v>
      </c>
    </row>
    <row r="114" spans="5:86" x14ac:dyDescent="0.25">
      <c r="E114" s="174">
        <v>4</v>
      </c>
      <c r="F114" s="221">
        <f t="shared" si="257"/>
        <v>8.0000000000000002E-3</v>
      </c>
      <c r="G114" s="221"/>
      <c r="H114" s="221">
        <f t="shared" si="201"/>
        <v>0.128</v>
      </c>
      <c r="I114" s="551">
        <f t="shared" si="202"/>
        <v>12</v>
      </c>
      <c r="J114" s="451">
        <f t="shared" si="203"/>
        <v>19.584</v>
      </c>
      <c r="K114" s="451">
        <f t="shared" si="204"/>
        <v>31.584</v>
      </c>
      <c r="L114" s="451"/>
      <c r="M114" s="221">
        <f t="shared" si="205"/>
        <v>0.62006079027355621</v>
      </c>
      <c r="N114" s="176">
        <f t="shared" si="206"/>
        <v>5.0626723404255323</v>
      </c>
      <c r="O114" s="176">
        <f t="shared" si="173"/>
        <v>0.128</v>
      </c>
      <c r="P114" s="221">
        <f t="shared" si="207"/>
        <v>0.31641702127659577</v>
      </c>
      <c r="Q114" s="221">
        <f t="shared" si="208"/>
        <v>16</v>
      </c>
      <c r="R114" s="221"/>
      <c r="S114" s="176">
        <f t="shared" si="209"/>
        <v>1002.5031909912223</v>
      </c>
      <c r="T114" s="176">
        <f t="shared" si="210"/>
        <v>16</v>
      </c>
      <c r="U114" s="221">
        <f t="shared" si="211"/>
        <v>3.8228031953522146E-2</v>
      </c>
      <c r="V114" s="221">
        <f t="shared" si="212"/>
        <v>9.5570079883805364E-2</v>
      </c>
      <c r="W114" s="221">
        <f t="shared" si="213"/>
        <v>5.8560097968017998E-2</v>
      </c>
      <c r="X114" s="201">
        <f t="shared" si="214"/>
        <v>350</v>
      </c>
      <c r="Y114" s="451">
        <f t="shared" si="215"/>
        <v>350</v>
      </c>
      <c r="AA114" s="221">
        <f t="shared" si="216"/>
        <v>0.70864090316977857</v>
      </c>
      <c r="AB114" s="177">
        <f t="shared" si="217"/>
        <v>1.0855405992184108</v>
      </c>
      <c r="AC114" s="177">
        <f t="shared" si="218"/>
        <v>0.16154427883809541</v>
      </c>
      <c r="AD114" s="177"/>
      <c r="AE114" s="177">
        <f t="shared" si="219"/>
        <v>0.4595588235294118</v>
      </c>
      <c r="AF114" s="555">
        <f t="shared" si="220"/>
        <v>96.711111111111123</v>
      </c>
      <c r="AG114" s="538">
        <f t="shared" si="221"/>
        <v>2.8952205882352939E-2</v>
      </c>
      <c r="AI114" s="177">
        <f t="shared" si="222"/>
        <v>0.15769772169746596</v>
      </c>
      <c r="AJ114" s="177">
        <f t="shared" si="223"/>
        <v>0.3</v>
      </c>
      <c r="AK114" s="177">
        <f t="shared" si="224"/>
        <v>1.055263492063492</v>
      </c>
      <c r="AM114" s="555">
        <f t="shared" si="225"/>
        <v>8</v>
      </c>
      <c r="AN114" s="469">
        <f t="shared" si="226"/>
        <v>96.711111111111123</v>
      </c>
      <c r="AP114" s="469">
        <f t="shared" si="227"/>
        <v>8</v>
      </c>
      <c r="AQ114" s="469">
        <f t="shared" si="228"/>
        <v>96.711111111111123</v>
      </c>
      <c r="AS114" s="5">
        <f t="shared" si="175"/>
        <v>10.340073529411763</v>
      </c>
      <c r="AT114" s="5">
        <f t="shared" si="229"/>
        <v>0.75</v>
      </c>
      <c r="AU114" s="5">
        <f t="shared" si="230"/>
        <v>9.5900735294117627</v>
      </c>
      <c r="AV114" s="5"/>
      <c r="AW114" s="177">
        <f t="shared" si="231"/>
        <v>7.2533333333333352E-2</v>
      </c>
      <c r="AX114" s="177">
        <f t="shared" si="150"/>
        <v>0.13056000000000004</v>
      </c>
      <c r="AY114" s="177">
        <f t="shared" si="151"/>
        <v>0.16694399999999998</v>
      </c>
      <c r="AZ114" s="177">
        <f t="shared" si="178"/>
        <v>0.78205865439908029</v>
      </c>
      <c r="BA114" s="469">
        <f t="shared" si="232"/>
        <v>8.6504050333139713</v>
      </c>
      <c r="BB114" s="469">
        <f t="shared" si="233"/>
        <v>3.1575706666666661E-2</v>
      </c>
      <c r="BC114" s="5">
        <f t="shared" si="234"/>
        <v>7.1037581699346375E-2</v>
      </c>
      <c r="BD114" s="469">
        <f t="shared" si="235"/>
        <v>11.401568627450978</v>
      </c>
      <c r="BF114" s="177">
        <f t="shared" si="179"/>
        <v>4.6647615158762409E-2</v>
      </c>
      <c r="BG114" s="177">
        <f t="shared" si="156"/>
        <v>0.20016633083513322</v>
      </c>
      <c r="BI114" s="538">
        <f t="shared" si="236"/>
        <v>7.6160000000000008E-4</v>
      </c>
      <c r="BJ114" s="538">
        <f t="shared" si="237"/>
        <v>4.5817855999999999E-3</v>
      </c>
      <c r="BK114" s="538">
        <f t="shared" si="238"/>
        <v>1.2088888888888889E-3</v>
      </c>
      <c r="BL114" s="538">
        <f t="shared" si="239"/>
        <v>4.8237038796800011E-3</v>
      </c>
      <c r="BM114">
        <f t="shared" si="240"/>
        <v>3.48E-3</v>
      </c>
      <c r="BN114">
        <f t="shared" si="241"/>
        <v>1.6924444444444447E-6</v>
      </c>
      <c r="BO114" s="538">
        <f t="shared" si="242"/>
        <v>1.4962589284239127E-2</v>
      </c>
      <c r="BP114" s="469">
        <f t="shared" si="243"/>
        <v>14.85597836856889</v>
      </c>
      <c r="BQ114" s="538">
        <f t="shared" si="244"/>
        <v>1.8361425920000004E-2</v>
      </c>
      <c r="BT114" s="469">
        <f t="shared" si="245"/>
        <v>18.361425920000006</v>
      </c>
      <c r="BU114" s="538">
        <f t="shared" si="246"/>
        <v>2.1760000000000006E-4</v>
      </c>
      <c r="BV114" s="538">
        <f t="shared" si="247"/>
        <v>1.2019967999999999E-3</v>
      </c>
      <c r="BW114" s="538">
        <f t="shared" si="248"/>
        <v>0</v>
      </c>
      <c r="BX114" s="538"/>
      <c r="BY114" s="538">
        <f t="shared" si="249"/>
        <v>4.3520000000000006E-4</v>
      </c>
      <c r="BZ114" s="469">
        <f t="shared" si="250"/>
        <v>1.8547967999999999</v>
      </c>
      <c r="CA114" s="177">
        <f t="shared" si="251"/>
        <v>3.5072201088568893E-2</v>
      </c>
      <c r="CB114" s="5">
        <f t="shared" si="252"/>
        <v>0.128</v>
      </c>
      <c r="CC114" s="177">
        <f t="shared" si="253"/>
        <v>0.78492838844114066</v>
      </c>
      <c r="CD114" s="5">
        <f t="shared" si="254"/>
        <v>78.492838844114061</v>
      </c>
      <c r="CG114" s="571">
        <f t="shared" si="255"/>
        <v>-50</v>
      </c>
      <c r="CH114">
        <f t="shared" si="256"/>
        <v>-50</v>
      </c>
    </row>
    <row r="115" spans="5:86" x14ac:dyDescent="0.25">
      <c r="E115" s="174">
        <v>5</v>
      </c>
      <c r="F115" s="221">
        <f t="shared" si="257"/>
        <v>1.0000000000000002E-2</v>
      </c>
      <c r="G115" s="221"/>
      <c r="H115" s="221">
        <f t="shared" si="201"/>
        <v>0.16000000000000003</v>
      </c>
      <c r="I115" s="551">
        <f t="shared" si="202"/>
        <v>12</v>
      </c>
      <c r="J115" s="451">
        <f t="shared" si="203"/>
        <v>19.584</v>
      </c>
      <c r="K115" s="451">
        <f t="shared" si="204"/>
        <v>31.584</v>
      </c>
      <c r="L115" s="451"/>
      <c r="M115" s="221">
        <f t="shared" si="205"/>
        <v>0.62006079027355621</v>
      </c>
      <c r="N115" s="176">
        <f t="shared" si="206"/>
        <v>5.0626723404255323</v>
      </c>
      <c r="O115" s="176">
        <f t="shared" si="173"/>
        <v>0.16000000000000003</v>
      </c>
      <c r="P115" s="221">
        <f t="shared" si="207"/>
        <v>0.31641702127659577</v>
      </c>
      <c r="Q115" s="221">
        <f t="shared" si="208"/>
        <v>16</v>
      </c>
      <c r="R115" s="221"/>
      <c r="S115" s="176">
        <f t="shared" si="209"/>
        <v>800.0039983806638</v>
      </c>
      <c r="T115" s="176">
        <f t="shared" si="210"/>
        <v>16</v>
      </c>
      <c r="U115" s="221">
        <f t="shared" si="211"/>
        <v>4.7785039941902689E-2</v>
      </c>
      <c r="V115" s="221">
        <f t="shared" si="212"/>
        <v>0.11946259985475674</v>
      </c>
      <c r="W115" s="221">
        <f t="shared" si="213"/>
        <v>7.3200122460022513E-2</v>
      </c>
      <c r="X115" s="201">
        <f t="shared" si="214"/>
        <v>350</v>
      </c>
      <c r="Y115" s="451">
        <f t="shared" si="215"/>
        <v>350</v>
      </c>
      <c r="AA115" s="221">
        <f t="shared" si="216"/>
        <v>0.70864090316977857</v>
      </c>
      <c r="AB115" s="177">
        <f t="shared" si="217"/>
        <v>1.0855405992184108</v>
      </c>
      <c r="AC115" s="177">
        <f t="shared" si="218"/>
        <v>0.16154427883809541</v>
      </c>
      <c r="AD115" s="177"/>
      <c r="AE115" s="177">
        <f t="shared" si="219"/>
        <v>0.4595588235294118</v>
      </c>
      <c r="AF115" s="555">
        <f t="shared" si="220"/>
        <v>120.88888888888891</v>
      </c>
      <c r="AG115" s="538">
        <f t="shared" si="221"/>
        <v>2.8952205882352939E-2</v>
      </c>
      <c r="AI115" s="177">
        <f t="shared" si="222"/>
        <v>0.17631141280618873</v>
      </c>
      <c r="AJ115" s="177">
        <f t="shared" si="223"/>
        <v>0.3</v>
      </c>
      <c r="AK115" s="177">
        <f t="shared" si="224"/>
        <v>1.0690793650793651</v>
      </c>
      <c r="AM115" s="555">
        <f t="shared" si="225"/>
        <v>10.000000000000002</v>
      </c>
      <c r="AN115" s="469">
        <f t="shared" si="226"/>
        <v>120.88888888888891</v>
      </c>
      <c r="AP115" s="469">
        <f t="shared" si="227"/>
        <v>10.000000000000002</v>
      </c>
      <c r="AQ115" s="469">
        <f t="shared" si="228"/>
        <v>120.88888888888891</v>
      </c>
      <c r="AS115" s="5">
        <f t="shared" si="175"/>
        <v>8.2720588235294095</v>
      </c>
      <c r="AT115" s="5">
        <f t="shared" si="229"/>
        <v>0.75</v>
      </c>
      <c r="AU115" s="5">
        <f t="shared" si="230"/>
        <v>7.5220588235294095</v>
      </c>
      <c r="AV115" s="5"/>
      <c r="AW115" s="177">
        <f t="shared" si="231"/>
        <v>9.0666666666666687E-2</v>
      </c>
      <c r="AX115" s="177">
        <f t="shared" si="150"/>
        <v>0.16320000000000004</v>
      </c>
      <c r="AY115" s="177">
        <f t="shared" si="151"/>
        <v>0.16367999999999999</v>
      </c>
      <c r="AZ115" s="177">
        <f t="shared" si="178"/>
        <v>0.99706744868035224</v>
      </c>
      <c r="BA115" s="469">
        <f t="shared" si="232"/>
        <v>8.6504050333139713</v>
      </c>
      <c r="BB115" s="469">
        <f t="shared" si="233"/>
        <v>4.1837041666666679E-2</v>
      </c>
      <c r="BC115" s="5">
        <f t="shared" si="234"/>
        <v>6.9648692810457505E-2</v>
      </c>
      <c r="BD115" s="469">
        <f t="shared" si="235"/>
        <v>11.188235294117645</v>
      </c>
      <c r="BF115" s="177">
        <f t="shared" si="179"/>
        <v>5.2153619241621194E-2</v>
      </c>
      <c r="BG115" s="177">
        <f t="shared" si="156"/>
        <v>0.19819989909180072</v>
      </c>
      <c r="BI115" s="538">
        <f t="shared" si="236"/>
        <v>9.5200000000000005E-4</v>
      </c>
      <c r="BJ115" s="538">
        <f t="shared" si="237"/>
        <v>5.7272320000000005E-3</v>
      </c>
      <c r="BK115" s="538">
        <f t="shared" si="238"/>
        <v>1.5111111111111115E-3</v>
      </c>
      <c r="BL115" s="538">
        <f t="shared" si="239"/>
        <v>6.0296298496000014E-3</v>
      </c>
      <c r="BM115">
        <f t="shared" si="240"/>
        <v>3.48E-3</v>
      </c>
      <c r="BN115">
        <f t="shared" si="241"/>
        <v>2.1155555555555561E-6</v>
      </c>
      <c r="BO115" s="538">
        <f t="shared" si="242"/>
        <v>1.783374090585434E-2</v>
      </c>
      <c r="BP115" s="469">
        <f t="shared" si="243"/>
        <v>17.699972960711111</v>
      </c>
      <c r="BQ115" s="538">
        <f t="shared" si="244"/>
        <v>1.8826182399999999E-2</v>
      </c>
      <c r="BT115" s="469">
        <f t="shared" si="245"/>
        <v>18.8261824</v>
      </c>
      <c r="BU115" s="538">
        <f t="shared" si="246"/>
        <v>2.7200000000000005E-4</v>
      </c>
      <c r="BV115" s="538">
        <f t="shared" si="247"/>
        <v>1.1784959999999996E-3</v>
      </c>
      <c r="BW115" s="538">
        <f t="shared" si="248"/>
        <v>0</v>
      </c>
      <c r="BX115" s="538"/>
      <c r="BY115" s="538">
        <f t="shared" si="249"/>
        <v>5.4400000000000021E-4</v>
      </c>
      <c r="BZ115" s="469">
        <f t="shared" si="250"/>
        <v>1.994496</v>
      </c>
      <c r="CA115" s="177">
        <f t="shared" si="251"/>
        <v>3.8520651360711117E-2</v>
      </c>
      <c r="CB115" s="5">
        <f t="shared" si="252"/>
        <v>0.16000000000000003</v>
      </c>
      <c r="CC115" s="177">
        <f t="shared" si="253"/>
        <v>0.80596149016900376</v>
      </c>
      <c r="CD115" s="5">
        <f t="shared" si="254"/>
        <v>80.59614901690037</v>
      </c>
      <c r="CG115" s="571">
        <f t="shared" si="255"/>
        <v>-50</v>
      </c>
      <c r="CH115">
        <f t="shared" si="256"/>
        <v>-50</v>
      </c>
    </row>
    <row r="116" spans="5:86" x14ac:dyDescent="0.25">
      <c r="E116" s="174">
        <v>6</v>
      </c>
      <c r="F116" s="221">
        <f t="shared" si="257"/>
        <v>1.2E-2</v>
      </c>
      <c r="G116" s="221"/>
      <c r="H116" s="221">
        <f t="shared" si="201"/>
        <v>0.192</v>
      </c>
      <c r="I116" s="551">
        <f t="shared" si="202"/>
        <v>12</v>
      </c>
      <c r="J116" s="451">
        <f t="shared" si="203"/>
        <v>19.584</v>
      </c>
      <c r="K116" s="451">
        <f t="shared" si="204"/>
        <v>31.584</v>
      </c>
      <c r="L116" s="451"/>
      <c r="M116" s="221">
        <f t="shared" si="205"/>
        <v>0.62006079027355621</v>
      </c>
      <c r="N116" s="176">
        <f t="shared" si="206"/>
        <v>5.0626723404255323</v>
      </c>
      <c r="O116" s="176">
        <f t="shared" si="173"/>
        <v>0.192</v>
      </c>
      <c r="P116" s="221">
        <f t="shared" si="207"/>
        <v>0.31641702127659577</v>
      </c>
      <c r="Q116" s="221">
        <f t="shared" si="208"/>
        <v>16</v>
      </c>
      <c r="R116" s="221"/>
      <c r="S116" s="176">
        <f t="shared" si="209"/>
        <v>665.00480968085583</v>
      </c>
      <c r="T116" s="176">
        <f t="shared" si="210"/>
        <v>16</v>
      </c>
      <c r="U116" s="221">
        <f t="shared" si="211"/>
        <v>5.7342047930283219E-2</v>
      </c>
      <c r="V116" s="221">
        <f t="shared" si="212"/>
        <v>0.14335511982570806</v>
      </c>
      <c r="W116" s="221">
        <f t="shared" si="213"/>
        <v>8.7840146952026993E-2</v>
      </c>
      <c r="X116" s="201">
        <f t="shared" si="214"/>
        <v>350</v>
      </c>
      <c r="Y116" s="451">
        <f t="shared" si="215"/>
        <v>350</v>
      </c>
      <c r="AA116" s="221">
        <f t="shared" si="216"/>
        <v>0.70864090316977857</v>
      </c>
      <c r="AB116" s="177">
        <f t="shared" si="217"/>
        <v>1.0855405992184108</v>
      </c>
      <c r="AC116" s="177">
        <f t="shared" si="218"/>
        <v>0.16154427883809541</v>
      </c>
      <c r="AD116" s="177"/>
      <c r="AE116" s="177">
        <f t="shared" si="219"/>
        <v>0.4595588235294118</v>
      </c>
      <c r="AF116" s="555">
        <f t="shared" si="220"/>
        <v>145.06666666666669</v>
      </c>
      <c r="AG116" s="538">
        <f t="shared" si="221"/>
        <v>2.8952205882352939E-2</v>
      </c>
      <c r="AI116" s="177">
        <f t="shared" si="222"/>
        <v>0.19313947587910954</v>
      </c>
      <c r="AJ116" s="177">
        <f t="shared" si="223"/>
        <v>0.3</v>
      </c>
      <c r="AK116" s="177">
        <f t="shared" si="224"/>
        <v>1.0828952380952381</v>
      </c>
      <c r="AM116" s="555">
        <f t="shared" si="225"/>
        <v>12</v>
      </c>
      <c r="AN116" s="469">
        <f t="shared" si="226"/>
        <v>145.06666666666669</v>
      </c>
      <c r="AP116" s="469">
        <f t="shared" si="227"/>
        <v>12</v>
      </c>
      <c r="AQ116" s="469">
        <f t="shared" si="228"/>
        <v>145.06666666666669</v>
      </c>
      <c r="AS116" s="5">
        <f t="shared" si="175"/>
        <v>6.8933823529411757</v>
      </c>
      <c r="AT116" s="5">
        <f t="shared" si="229"/>
        <v>0.75</v>
      </c>
      <c r="AU116" s="5">
        <f t="shared" si="230"/>
        <v>6.1433823529411757</v>
      </c>
      <c r="AV116" s="5"/>
      <c r="AW116" s="177">
        <f t="shared" si="231"/>
        <v>0.10880000000000001</v>
      </c>
      <c r="AX116" s="177">
        <f t="shared" si="150"/>
        <v>0.19584000000000001</v>
      </c>
      <c r="AY116" s="177">
        <f t="shared" si="151"/>
        <v>0.160416</v>
      </c>
      <c r="AZ116" s="177">
        <f t="shared" si="178"/>
        <v>1.2208258527827649</v>
      </c>
      <c r="BA116" s="469">
        <f t="shared" si="232"/>
        <v>8.6504050333139713</v>
      </c>
      <c r="BB116" s="469">
        <f t="shared" si="233"/>
        <v>5.3045339999999996E-2</v>
      </c>
      <c r="BC116" s="5">
        <f t="shared" si="234"/>
        <v>6.8259803921568621E-2</v>
      </c>
      <c r="BD116" s="469">
        <f t="shared" si="235"/>
        <v>10.974901960784313</v>
      </c>
      <c r="BF116" s="177">
        <f t="shared" si="179"/>
        <v>5.7131427428342804E-2</v>
      </c>
      <c r="BG116" s="177">
        <f t="shared" si="156"/>
        <v>0.19621376098530907</v>
      </c>
      <c r="BI116" s="538">
        <f t="shared" si="236"/>
        <v>1.1424E-3</v>
      </c>
      <c r="BJ116" s="538">
        <f t="shared" si="237"/>
        <v>6.8726784000000011E-3</v>
      </c>
      <c r="BK116" s="538">
        <f t="shared" si="238"/>
        <v>1.8133333333333335E-3</v>
      </c>
      <c r="BL116" s="538">
        <f t="shared" si="239"/>
        <v>7.2355558195200016E-3</v>
      </c>
      <c r="BM116">
        <f t="shared" si="240"/>
        <v>3.48E-3</v>
      </c>
      <c r="BN116">
        <f t="shared" si="241"/>
        <v>2.5386666666666674E-6</v>
      </c>
      <c r="BO116" s="538">
        <f t="shared" si="242"/>
        <v>2.0705094290217819E-2</v>
      </c>
      <c r="BP116" s="469">
        <f t="shared" si="243"/>
        <v>20.543967552853335</v>
      </c>
      <c r="BQ116" s="538">
        <f t="shared" si="244"/>
        <v>1.929093888E-2</v>
      </c>
      <c r="BT116" s="469">
        <f t="shared" si="245"/>
        <v>19.290938879999999</v>
      </c>
      <c r="BU116" s="538">
        <f t="shared" si="246"/>
        <v>3.2640000000000007E-4</v>
      </c>
      <c r="BV116" s="538">
        <f t="shared" si="247"/>
        <v>1.1549951999999997E-3</v>
      </c>
      <c r="BW116" s="538">
        <f t="shared" si="248"/>
        <v>0</v>
      </c>
      <c r="BX116" s="538"/>
      <c r="BY116" s="538">
        <f t="shared" si="249"/>
        <v>6.5280000000000026E-4</v>
      </c>
      <c r="BZ116" s="469">
        <f t="shared" si="250"/>
        <v>2.1341952000000002</v>
      </c>
      <c r="CA116" s="177">
        <f t="shared" si="251"/>
        <v>4.1969101632853341E-2</v>
      </c>
      <c r="CB116" s="5">
        <f t="shared" si="252"/>
        <v>0.192</v>
      </c>
      <c r="CC116" s="177">
        <f t="shared" si="253"/>
        <v>0.82062117886526886</v>
      </c>
      <c r="CD116" s="5">
        <f t="shared" si="254"/>
        <v>82.062117886526892</v>
      </c>
      <c r="CG116" s="571">
        <f t="shared" si="255"/>
        <v>-50</v>
      </c>
      <c r="CH116">
        <f t="shared" si="256"/>
        <v>-50</v>
      </c>
    </row>
    <row r="117" spans="5:86" x14ac:dyDescent="0.25">
      <c r="E117" s="174">
        <v>7</v>
      </c>
      <c r="F117" s="221">
        <f t="shared" si="257"/>
        <v>1.4000000000000002E-2</v>
      </c>
      <c r="G117" s="221"/>
      <c r="H117" s="221">
        <f t="shared" si="201"/>
        <v>0.22400000000000003</v>
      </c>
      <c r="I117" s="551">
        <f t="shared" si="202"/>
        <v>12</v>
      </c>
      <c r="J117" s="451">
        <f t="shared" si="203"/>
        <v>19.584</v>
      </c>
      <c r="K117" s="451">
        <f t="shared" si="204"/>
        <v>31.584</v>
      </c>
      <c r="L117" s="451"/>
      <c r="M117" s="221">
        <f t="shared" si="205"/>
        <v>0.62006079027355621</v>
      </c>
      <c r="N117" s="176">
        <f t="shared" si="206"/>
        <v>5.0626723404255323</v>
      </c>
      <c r="O117" s="176">
        <f t="shared" si="173"/>
        <v>0.22400000000000003</v>
      </c>
      <c r="P117" s="221">
        <f t="shared" si="207"/>
        <v>0.31641702127659577</v>
      </c>
      <c r="Q117" s="221">
        <f t="shared" si="208"/>
        <v>16</v>
      </c>
      <c r="R117" s="221"/>
      <c r="S117" s="176">
        <f t="shared" si="209"/>
        <v>568.57705349070045</v>
      </c>
      <c r="T117" s="176">
        <f t="shared" si="210"/>
        <v>16</v>
      </c>
      <c r="U117" s="221">
        <f t="shared" si="211"/>
        <v>6.6899055918663769E-2</v>
      </c>
      <c r="V117" s="221">
        <f t="shared" si="212"/>
        <v>0.16724763979665944</v>
      </c>
      <c r="W117" s="221">
        <f t="shared" si="213"/>
        <v>0.1024801714440315</v>
      </c>
      <c r="X117" s="201">
        <f t="shared" si="214"/>
        <v>350</v>
      </c>
      <c r="Y117" s="451">
        <f t="shared" si="215"/>
        <v>350</v>
      </c>
      <c r="AA117" s="221">
        <f t="shared" si="216"/>
        <v>0.70864090316977857</v>
      </c>
      <c r="AB117" s="177">
        <f t="shared" si="217"/>
        <v>1.0855405992184108</v>
      </c>
      <c r="AC117" s="177">
        <f t="shared" si="218"/>
        <v>0.16154427883809541</v>
      </c>
      <c r="AD117" s="177"/>
      <c r="AE117" s="177">
        <f t="shared" si="219"/>
        <v>0.4595588235294118</v>
      </c>
      <c r="AF117" s="555">
        <f t="shared" si="220"/>
        <v>169.2444444444445</v>
      </c>
      <c r="AG117" s="538">
        <f t="shared" si="221"/>
        <v>2.8952205882352939E-2</v>
      </c>
      <c r="AI117" s="177">
        <f t="shared" si="222"/>
        <v>0.20861447696648477</v>
      </c>
      <c r="AJ117" s="177">
        <f t="shared" si="223"/>
        <v>0.3</v>
      </c>
      <c r="AK117" s="177">
        <f t="shared" si="224"/>
        <v>1.0967111111111112</v>
      </c>
      <c r="AM117" s="555">
        <f t="shared" si="225"/>
        <v>14.000000000000002</v>
      </c>
      <c r="AN117" s="469">
        <f t="shared" si="226"/>
        <v>169.2444444444445</v>
      </c>
      <c r="AP117" s="469">
        <f t="shared" si="227"/>
        <v>14.000000000000002</v>
      </c>
      <c r="AQ117" s="469">
        <f t="shared" si="228"/>
        <v>169.2444444444445</v>
      </c>
      <c r="AS117" s="5">
        <f t="shared" si="175"/>
        <v>5.9086134453781494</v>
      </c>
      <c r="AT117" s="5">
        <f t="shared" si="229"/>
        <v>0.75</v>
      </c>
      <c r="AU117" s="5">
        <f t="shared" si="230"/>
        <v>5.1586134453781494</v>
      </c>
      <c r="AV117" s="5"/>
      <c r="AW117" s="177">
        <f t="shared" si="231"/>
        <v>0.12693333333333337</v>
      </c>
      <c r="AX117" s="177">
        <f t="shared" si="150"/>
        <v>0.22848000000000007</v>
      </c>
      <c r="AY117" s="177">
        <f t="shared" si="151"/>
        <v>0.15715199999999999</v>
      </c>
      <c r="AZ117" s="177">
        <f t="shared" si="178"/>
        <v>1.4538790470372638</v>
      </c>
      <c r="BA117" s="469">
        <f t="shared" si="232"/>
        <v>8.6504050333139713</v>
      </c>
      <c r="BB117" s="469">
        <f t="shared" si="233"/>
        <v>6.5200601666666677E-2</v>
      </c>
      <c r="BC117" s="5">
        <f t="shared" ref="BC117:BC180" si="258">H117/Efficiency/I117*AU117/Vinripple1</f>
        <v>6.6870915032679723E-2</v>
      </c>
      <c r="BD117" s="469">
        <f t="shared" si="235"/>
        <v>10.761568627450977</v>
      </c>
      <c r="BF117" s="177">
        <f t="shared" si="179"/>
        <v>6.170899448216606E-2</v>
      </c>
      <c r="BG117" s="177">
        <f t="shared" si="156"/>
        <v>0.19420731191178153</v>
      </c>
      <c r="BI117" s="538">
        <f t="shared" si="236"/>
        <v>1.3328000000000003E-3</v>
      </c>
      <c r="BJ117" s="538">
        <f t="shared" si="237"/>
        <v>8.0181248000000017E-3</v>
      </c>
      <c r="BK117" s="538">
        <f t="shared" si="238"/>
        <v>2.1155555555555563E-3</v>
      </c>
      <c r="BL117" s="538">
        <f t="shared" si="239"/>
        <v>8.4414817894400019E-3</v>
      </c>
      <c r="BM117">
        <f t="shared" si="240"/>
        <v>3.48E-3</v>
      </c>
      <c r="BN117">
        <f t="shared" si="241"/>
        <v>2.961777777777779E-6</v>
      </c>
      <c r="BO117" s="538">
        <f t="shared" si="242"/>
        <v>2.3576649458597849E-2</v>
      </c>
      <c r="BP117" s="469">
        <f t="shared" si="243"/>
        <v>23.387962144995559</v>
      </c>
      <c r="BQ117" s="538">
        <f t="shared" si="244"/>
        <v>1.9755695360000002E-2</v>
      </c>
      <c r="BT117" s="469">
        <f t="shared" si="245"/>
        <v>19.755695360000001</v>
      </c>
      <c r="BU117" s="538">
        <f t="shared" si="246"/>
        <v>3.8080000000000015E-4</v>
      </c>
      <c r="BV117" s="538">
        <f t="shared" si="247"/>
        <v>1.1314944000000002E-3</v>
      </c>
      <c r="BW117" s="538">
        <f t="shared" si="248"/>
        <v>0</v>
      </c>
      <c r="BX117" s="538"/>
      <c r="BY117" s="538">
        <f t="shared" si="249"/>
        <v>7.6160000000000041E-4</v>
      </c>
      <c r="BZ117" s="469">
        <f t="shared" si="250"/>
        <v>2.273894400000001</v>
      </c>
      <c r="CA117" s="177">
        <f t="shared" si="251"/>
        <v>4.5417551904995565E-2</v>
      </c>
      <c r="CB117" s="5">
        <f t="shared" si="252"/>
        <v>0.22400000000000003</v>
      </c>
      <c r="CC117" s="177">
        <f t="shared" si="253"/>
        <v>0.83142318834145179</v>
      </c>
      <c r="CD117" s="5">
        <f t="shared" si="254"/>
        <v>83.142318834145186</v>
      </c>
      <c r="CG117" s="571">
        <f t="shared" si="255"/>
        <v>-50</v>
      </c>
      <c r="CH117">
        <f t="shared" si="256"/>
        <v>-50</v>
      </c>
    </row>
    <row r="118" spans="5:86" x14ac:dyDescent="0.25">
      <c r="E118" s="174">
        <v>8</v>
      </c>
      <c r="F118" s="221">
        <f t="shared" si="257"/>
        <v>1.6E-2</v>
      </c>
      <c r="G118" s="221"/>
      <c r="H118" s="221">
        <f t="shared" si="201"/>
        <v>0.25600000000000001</v>
      </c>
      <c r="I118" s="551">
        <f t="shared" si="202"/>
        <v>12</v>
      </c>
      <c r="J118" s="451">
        <f t="shared" si="203"/>
        <v>19.584</v>
      </c>
      <c r="K118" s="451">
        <f t="shared" si="204"/>
        <v>31.584</v>
      </c>
      <c r="L118" s="451"/>
      <c r="M118" s="221">
        <f t="shared" si="205"/>
        <v>0.62006079027355621</v>
      </c>
      <c r="N118" s="176">
        <f t="shared" si="206"/>
        <v>5.0626723404255323</v>
      </c>
      <c r="O118" s="176">
        <f t="shared" si="173"/>
        <v>0.25600000000000001</v>
      </c>
      <c r="P118" s="221">
        <f t="shared" si="207"/>
        <v>0.31641702127659577</v>
      </c>
      <c r="Q118" s="221">
        <f t="shared" si="208"/>
        <v>16</v>
      </c>
      <c r="R118" s="221"/>
      <c r="S118" s="176">
        <f t="shared" si="209"/>
        <v>496.25644412363471</v>
      </c>
      <c r="T118" s="176">
        <f t="shared" si="210"/>
        <v>16</v>
      </c>
      <c r="U118" s="221">
        <f t="shared" si="211"/>
        <v>7.6456063907044292E-2</v>
      </c>
      <c r="V118" s="221">
        <f t="shared" si="212"/>
        <v>0.19114015976761073</v>
      </c>
      <c r="W118" s="221">
        <f t="shared" si="213"/>
        <v>0.117120195936036</v>
      </c>
      <c r="X118" s="201">
        <f t="shared" si="214"/>
        <v>350</v>
      </c>
      <c r="Y118" s="451">
        <f t="shared" si="215"/>
        <v>350</v>
      </c>
      <c r="AA118" s="221">
        <f t="shared" si="216"/>
        <v>0.70864090316977857</v>
      </c>
      <c r="AB118" s="177">
        <f t="shared" si="217"/>
        <v>1.0855405992184108</v>
      </c>
      <c r="AC118" s="177">
        <f t="shared" si="218"/>
        <v>0.16154427883809541</v>
      </c>
      <c r="AD118" s="177"/>
      <c r="AE118" s="177">
        <f t="shared" si="219"/>
        <v>0.4595588235294118</v>
      </c>
      <c r="AF118" s="555">
        <f t="shared" si="220"/>
        <v>193.42222222222225</v>
      </c>
      <c r="AG118" s="538">
        <f t="shared" si="221"/>
        <v>2.8952205882352939E-2</v>
      </c>
      <c r="AI118" s="177">
        <f t="shared" si="222"/>
        <v>0.22301825677989426</v>
      </c>
      <c r="AJ118" s="177">
        <f t="shared" si="223"/>
        <v>0.3</v>
      </c>
      <c r="AK118" s="177">
        <f t="shared" si="224"/>
        <v>1.1105269841269843</v>
      </c>
      <c r="AM118" s="555">
        <f t="shared" si="225"/>
        <v>16</v>
      </c>
      <c r="AN118" s="469">
        <f t="shared" si="226"/>
        <v>193.42222222222225</v>
      </c>
      <c r="AP118" s="469">
        <f t="shared" si="227"/>
        <v>16</v>
      </c>
      <c r="AQ118" s="469">
        <f t="shared" si="228"/>
        <v>193.42222222222225</v>
      </c>
      <c r="AS118" s="5">
        <f t="shared" si="175"/>
        <v>5.1700367647058814</v>
      </c>
      <c r="AT118" s="5">
        <f t="shared" si="229"/>
        <v>0.75</v>
      </c>
      <c r="AU118" s="5">
        <f t="shared" si="230"/>
        <v>4.4200367647058814</v>
      </c>
      <c r="AV118" s="5"/>
      <c r="AW118" s="177">
        <f t="shared" si="231"/>
        <v>0.1450666666666667</v>
      </c>
      <c r="AX118" s="177">
        <f t="shared" si="150"/>
        <v>0.26112000000000007</v>
      </c>
      <c r="AY118" s="177">
        <f t="shared" si="151"/>
        <v>0.153888</v>
      </c>
      <c r="AZ118" s="177">
        <f t="shared" si="178"/>
        <v>1.6968184653774179</v>
      </c>
      <c r="BA118" s="469">
        <f t="shared" si="232"/>
        <v>8.6504050333139713</v>
      </c>
      <c r="BB118" s="469">
        <f t="shared" si="233"/>
        <v>7.8302826666666658E-2</v>
      </c>
      <c r="BC118" s="5">
        <f t="shared" si="258"/>
        <v>6.5482026143790825E-2</v>
      </c>
      <c r="BD118" s="469">
        <f t="shared" si="235"/>
        <v>10.548235294117644</v>
      </c>
      <c r="BF118" s="177">
        <f t="shared" si="179"/>
        <v>6.5969690009882578E-2</v>
      </c>
      <c r="BG118" s="177">
        <f t="shared" si="156"/>
        <v>0.192179915704009</v>
      </c>
      <c r="BI118" s="538">
        <f t="shared" si="236"/>
        <v>1.5232000000000002E-3</v>
      </c>
      <c r="BJ118" s="538">
        <f t="shared" si="237"/>
        <v>9.1635711999999998E-3</v>
      </c>
      <c r="BK118" s="538">
        <f t="shared" si="238"/>
        <v>2.4177777777777778E-3</v>
      </c>
      <c r="BL118" s="538">
        <f t="shared" si="239"/>
        <v>9.6474077593600022E-3</v>
      </c>
      <c r="BM118">
        <f t="shared" si="240"/>
        <v>3.48E-3</v>
      </c>
      <c r="BN118">
        <f t="shared" si="241"/>
        <v>3.3848888888888894E-6</v>
      </c>
      <c r="BO118" s="538">
        <f t="shared" si="242"/>
        <v>2.6448406432265693E-2</v>
      </c>
      <c r="BP118" s="469">
        <f t="shared" si="243"/>
        <v>26.231956737137779</v>
      </c>
      <c r="BQ118" s="538">
        <f t="shared" si="244"/>
        <v>2.0220451840000004E-2</v>
      </c>
      <c r="BT118" s="469">
        <f t="shared" si="245"/>
        <v>20.220451840000003</v>
      </c>
      <c r="BU118" s="538">
        <f t="shared" si="246"/>
        <v>4.3520000000000012E-4</v>
      </c>
      <c r="BV118" s="538">
        <f t="shared" si="247"/>
        <v>1.1079936000000002E-3</v>
      </c>
      <c r="BW118" s="538">
        <f t="shared" si="248"/>
        <v>0</v>
      </c>
      <c r="BX118" s="538"/>
      <c r="BY118" s="538">
        <f t="shared" si="249"/>
        <v>8.7040000000000012E-4</v>
      </c>
      <c r="BZ118" s="469">
        <f t="shared" si="250"/>
        <v>2.4135936000000004</v>
      </c>
      <c r="CA118" s="177">
        <f t="shared" si="251"/>
        <v>4.8866002177137782E-2</v>
      </c>
      <c r="CB118" s="5">
        <f t="shared" si="252"/>
        <v>0.25600000000000001</v>
      </c>
      <c r="CC118" s="177">
        <f t="shared" si="253"/>
        <v>0.83971317946845081</v>
      </c>
      <c r="CD118" s="5">
        <f t="shared" si="254"/>
        <v>83.971317946845076</v>
      </c>
      <c r="CG118" s="571">
        <f t="shared" si="255"/>
        <v>-50</v>
      </c>
      <c r="CH118">
        <f t="shared" si="256"/>
        <v>-50</v>
      </c>
    </row>
    <row r="119" spans="5:86" x14ac:dyDescent="0.25">
      <c r="E119" s="174">
        <v>9</v>
      </c>
      <c r="F119" s="221">
        <f t="shared" si="257"/>
        <v>1.7999999999999999E-2</v>
      </c>
      <c r="G119" s="221"/>
      <c r="H119" s="221">
        <f t="shared" si="201"/>
        <v>0.28799999999999998</v>
      </c>
      <c r="I119" s="551">
        <f t="shared" si="202"/>
        <v>12</v>
      </c>
      <c r="J119" s="451">
        <f t="shared" si="203"/>
        <v>19.584</v>
      </c>
      <c r="K119" s="451">
        <f t="shared" si="204"/>
        <v>31.584</v>
      </c>
      <c r="L119" s="451"/>
      <c r="M119" s="221">
        <f t="shared" si="205"/>
        <v>0.62006079027355621</v>
      </c>
      <c r="N119" s="176">
        <f t="shared" si="206"/>
        <v>5.0626723404255323</v>
      </c>
      <c r="O119" s="176">
        <f t="shared" si="173"/>
        <v>0.28799999999999998</v>
      </c>
      <c r="P119" s="221">
        <f t="shared" si="207"/>
        <v>0.31641702127659577</v>
      </c>
      <c r="Q119" s="221">
        <f t="shared" si="208"/>
        <v>16</v>
      </c>
      <c r="R119" s="221"/>
      <c r="S119" s="176">
        <f t="shared" si="209"/>
        <v>440.00726732191595</v>
      </c>
      <c r="T119" s="176">
        <f t="shared" si="210"/>
        <v>16</v>
      </c>
      <c r="U119" s="221">
        <f t="shared" si="211"/>
        <v>8.6013071895424828E-2</v>
      </c>
      <c r="V119" s="221">
        <f t="shared" si="212"/>
        <v>0.21503267973856205</v>
      </c>
      <c r="W119" s="221">
        <f t="shared" si="213"/>
        <v>0.1317602204280405</v>
      </c>
      <c r="X119" s="201">
        <f t="shared" si="214"/>
        <v>350</v>
      </c>
      <c r="Y119" s="451">
        <f t="shared" si="215"/>
        <v>350</v>
      </c>
      <c r="AA119" s="221">
        <f t="shared" si="216"/>
        <v>0.70864090316977857</v>
      </c>
      <c r="AB119" s="177">
        <f t="shared" si="217"/>
        <v>1.0855405992184108</v>
      </c>
      <c r="AC119" s="177">
        <f t="shared" si="218"/>
        <v>0.16154427883809541</v>
      </c>
      <c r="AD119" s="177"/>
      <c r="AE119" s="177">
        <f t="shared" si="219"/>
        <v>0.4595588235294118</v>
      </c>
      <c r="AF119" s="555">
        <f t="shared" si="220"/>
        <v>217.6</v>
      </c>
      <c r="AG119" s="538">
        <f t="shared" si="221"/>
        <v>2.8952205882352939E-2</v>
      </c>
      <c r="AI119" s="177">
        <f t="shared" si="222"/>
        <v>0.23654658254619892</v>
      </c>
      <c r="AJ119" s="177">
        <f t="shared" si="223"/>
        <v>0.3</v>
      </c>
      <c r="AK119" s="177">
        <f t="shared" si="224"/>
        <v>1.1243428571428571</v>
      </c>
      <c r="AM119" s="555">
        <f t="shared" si="225"/>
        <v>18</v>
      </c>
      <c r="AN119" s="469">
        <f t="shared" si="226"/>
        <v>217.6</v>
      </c>
      <c r="AP119" s="469">
        <f t="shared" si="227"/>
        <v>18</v>
      </c>
      <c r="AQ119" s="469">
        <f t="shared" si="228"/>
        <v>217.6</v>
      </c>
      <c r="AS119" s="5">
        <f t="shared" si="175"/>
        <v>4.5955882352941178</v>
      </c>
      <c r="AT119" s="5">
        <f t="shared" si="229"/>
        <v>0.75</v>
      </c>
      <c r="AU119" s="5">
        <f t="shared" si="230"/>
        <v>3.8455882352941178</v>
      </c>
      <c r="AV119" s="5"/>
      <c r="AW119" s="177">
        <f t="shared" si="231"/>
        <v>0.16319999999999998</v>
      </c>
      <c r="AX119" s="177">
        <f t="shared" si="150"/>
        <v>0.29376000000000002</v>
      </c>
      <c r="AY119" s="177">
        <f t="shared" si="151"/>
        <v>0.15062399999999998</v>
      </c>
      <c r="AZ119" s="177">
        <f t="shared" si="178"/>
        <v>1.9502868068833656</v>
      </c>
      <c r="BA119" s="469">
        <f t="shared" si="232"/>
        <v>8.6504050333139713</v>
      </c>
      <c r="BB119" s="469">
        <f t="shared" si="233"/>
        <v>9.2352014999999982E-2</v>
      </c>
      <c r="BC119" s="5">
        <f t="shared" si="258"/>
        <v>6.4093137254901941E-2</v>
      </c>
      <c r="BD119" s="469">
        <f t="shared" si="235"/>
        <v>10.334901960784311</v>
      </c>
      <c r="BF119" s="177">
        <f t="shared" si="179"/>
        <v>6.9971422738143593E-2</v>
      </c>
      <c r="BG119" s="177">
        <f t="shared" si="156"/>
        <v>0.19013090227524826</v>
      </c>
      <c r="BI119" s="538">
        <f t="shared" si="236"/>
        <v>1.7135999999999994E-3</v>
      </c>
      <c r="BJ119" s="538">
        <f t="shared" si="237"/>
        <v>1.03090176E-2</v>
      </c>
      <c r="BK119" s="538">
        <f t="shared" si="238"/>
        <v>2.7199999999999998E-3</v>
      </c>
      <c r="BL119" s="538">
        <f t="shared" si="239"/>
        <v>1.0853333729280001E-2</v>
      </c>
      <c r="BM119">
        <f t="shared" si="240"/>
        <v>3.48E-3</v>
      </c>
      <c r="BN119">
        <f t="shared" si="241"/>
        <v>3.8080000000000002E-6</v>
      </c>
      <c r="BO119" s="538">
        <f t="shared" si="242"/>
        <v>2.9320365232495618E-2</v>
      </c>
      <c r="BP119" s="469">
        <f t="shared" si="243"/>
        <v>29.075951329279999</v>
      </c>
      <c r="BQ119" s="538">
        <f t="shared" si="244"/>
        <v>2.0685208320000002E-2</v>
      </c>
      <c r="BT119" s="469">
        <f t="shared" si="245"/>
        <v>20.685208320000001</v>
      </c>
      <c r="BU119" s="538">
        <f t="shared" si="246"/>
        <v>4.8959999999999987E-4</v>
      </c>
      <c r="BV119" s="538">
        <f t="shared" si="247"/>
        <v>1.0844928000000001E-3</v>
      </c>
      <c r="BW119" s="538">
        <f t="shared" si="248"/>
        <v>0</v>
      </c>
      <c r="BX119" s="538"/>
      <c r="BY119" s="538">
        <f t="shared" si="249"/>
        <v>9.7920000000000017E-4</v>
      </c>
      <c r="BZ119" s="469">
        <f t="shared" si="250"/>
        <v>2.5532927999999999</v>
      </c>
      <c r="CA119" s="177">
        <f t="shared" si="251"/>
        <v>5.2314452449280006E-2</v>
      </c>
      <c r="CB119" s="5">
        <f t="shared" si="252"/>
        <v>0.28799999999999998</v>
      </c>
      <c r="CC119" s="177">
        <f t="shared" si="253"/>
        <v>0.84627613645918587</v>
      </c>
      <c r="CD119" s="5">
        <f t="shared" si="254"/>
        <v>84.627613645918586</v>
      </c>
      <c r="CG119" s="571">
        <f t="shared" si="255"/>
        <v>-50</v>
      </c>
      <c r="CH119">
        <f t="shared" si="256"/>
        <v>-50</v>
      </c>
    </row>
    <row r="120" spans="5:86" x14ac:dyDescent="0.25">
      <c r="E120" s="174">
        <v>10</v>
      </c>
      <c r="F120" s="221">
        <f t="shared" si="257"/>
        <v>2.0000000000000004E-2</v>
      </c>
      <c r="G120" s="221"/>
      <c r="H120" s="221">
        <f t="shared" si="201"/>
        <v>0.32000000000000006</v>
      </c>
      <c r="I120" s="551">
        <f t="shared" si="202"/>
        <v>12</v>
      </c>
      <c r="J120" s="451">
        <f t="shared" si="203"/>
        <v>19.584</v>
      </c>
      <c r="K120" s="451">
        <f t="shared" si="204"/>
        <v>31.584</v>
      </c>
      <c r="L120" s="451"/>
      <c r="M120" s="221">
        <f t="shared" si="205"/>
        <v>0.62006079027355621</v>
      </c>
      <c r="N120" s="176">
        <f t="shared" si="206"/>
        <v>5.0626723404255323</v>
      </c>
      <c r="O120" s="176">
        <f t="shared" si="173"/>
        <v>0.32000000000000006</v>
      </c>
      <c r="P120" s="221">
        <f t="shared" si="207"/>
        <v>0.31641702127659577</v>
      </c>
      <c r="Q120" s="221">
        <f t="shared" si="208"/>
        <v>16</v>
      </c>
      <c r="R120" s="221"/>
      <c r="S120" s="176">
        <f t="shared" si="209"/>
        <v>395.00809454234121</v>
      </c>
      <c r="T120" s="176">
        <f t="shared" si="210"/>
        <v>16</v>
      </c>
      <c r="U120" s="221">
        <f t="shared" si="211"/>
        <v>9.5570079883805378E-2</v>
      </c>
      <c r="V120" s="221">
        <f t="shared" si="212"/>
        <v>0.23892519970951348</v>
      </c>
      <c r="W120" s="221">
        <f t="shared" si="213"/>
        <v>0.14640024492004503</v>
      </c>
      <c r="X120" s="201">
        <f t="shared" si="214"/>
        <v>350</v>
      </c>
      <c r="Y120" s="451">
        <f t="shared" si="215"/>
        <v>350</v>
      </c>
      <c r="AA120" s="221">
        <f t="shared" si="216"/>
        <v>0.70864090316977857</v>
      </c>
      <c r="AB120" s="177">
        <f t="shared" si="217"/>
        <v>1.0855405992184108</v>
      </c>
      <c r="AC120" s="177">
        <f t="shared" si="218"/>
        <v>0.16154427883809541</v>
      </c>
      <c r="AD120" s="177"/>
      <c r="AE120" s="177">
        <f t="shared" si="219"/>
        <v>0.4595588235294118</v>
      </c>
      <c r="AF120" s="555">
        <f t="shared" si="220"/>
        <v>241.77777777777783</v>
      </c>
      <c r="AG120" s="538">
        <f t="shared" si="221"/>
        <v>2.8952205882352939E-2</v>
      </c>
      <c r="AI120" s="177">
        <f t="shared" si="222"/>
        <v>0.2493419911916735</v>
      </c>
      <c r="AJ120" s="177">
        <f t="shared" si="223"/>
        <v>0.3</v>
      </c>
      <c r="AK120" s="177">
        <f t="shared" si="224"/>
        <v>1.1381587301587301</v>
      </c>
      <c r="AM120" s="555">
        <f t="shared" si="225"/>
        <v>20.000000000000004</v>
      </c>
      <c r="AN120" s="469">
        <f t="shared" si="226"/>
        <v>241.77777777777783</v>
      </c>
      <c r="AP120" s="469">
        <f t="shared" si="227"/>
        <v>20.000000000000004</v>
      </c>
      <c r="AQ120" s="469">
        <f t="shared" si="228"/>
        <v>241.77777777777783</v>
      </c>
      <c r="AS120" s="5">
        <f t="shared" si="175"/>
        <v>4.1360294117647047</v>
      </c>
      <c r="AT120" s="5">
        <f t="shared" si="229"/>
        <v>0.75</v>
      </c>
      <c r="AU120" s="5">
        <f t="shared" si="230"/>
        <v>3.3860294117647047</v>
      </c>
      <c r="AV120" s="5"/>
      <c r="AW120" s="177">
        <f t="shared" si="231"/>
        <v>0.18133333333333337</v>
      </c>
      <c r="AX120" s="177">
        <f t="shared" si="150"/>
        <v>0.32640000000000008</v>
      </c>
      <c r="AY120" s="177">
        <f t="shared" si="151"/>
        <v>0.14735999999999999</v>
      </c>
      <c r="AZ120" s="177">
        <f t="shared" si="178"/>
        <v>2.2149837133550494</v>
      </c>
      <c r="BA120" s="469">
        <f t="shared" si="232"/>
        <v>8.6504050333139713</v>
      </c>
      <c r="BB120" s="469">
        <f t="shared" si="233"/>
        <v>0.10734816666666669</v>
      </c>
      <c r="BC120" s="5">
        <f t="shared" si="258"/>
        <v>6.2704248366013057E-2</v>
      </c>
      <c r="BD120" s="469">
        <f t="shared" si="235"/>
        <v>10.121568627450978</v>
      </c>
      <c r="BF120" s="177">
        <f t="shared" si="179"/>
        <v>7.3756355658343112E-2</v>
      </c>
      <c r="BG120" s="177">
        <f t="shared" si="156"/>
        <v>0.18805956503193344</v>
      </c>
      <c r="BI120" s="538">
        <f t="shared" si="236"/>
        <v>1.9040000000000005E-3</v>
      </c>
      <c r="BJ120" s="538">
        <f t="shared" si="237"/>
        <v>1.1454464000000001E-2</v>
      </c>
      <c r="BK120" s="538">
        <f t="shared" si="238"/>
        <v>3.022222222222223E-3</v>
      </c>
      <c r="BL120" s="538">
        <f t="shared" si="239"/>
        <v>1.2059259699200003E-2</v>
      </c>
      <c r="BM120">
        <f t="shared" si="240"/>
        <v>3.48E-3</v>
      </c>
      <c r="BN120">
        <f t="shared" si="241"/>
        <v>4.2311111111111123E-6</v>
      </c>
      <c r="BO120" s="538">
        <f t="shared" si="242"/>
        <v>3.2192525880564871E-2</v>
      </c>
      <c r="BP120" s="469">
        <f t="shared" si="243"/>
        <v>31.919945921422229</v>
      </c>
      <c r="BQ120" s="538">
        <f t="shared" si="244"/>
        <v>2.1149964800000001E-2</v>
      </c>
      <c r="BT120" s="469">
        <f t="shared" si="245"/>
        <v>21.149964799999999</v>
      </c>
      <c r="BU120" s="538">
        <f t="shared" si="246"/>
        <v>5.4400000000000021E-4</v>
      </c>
      <c r="BV120" s="538">
        <f t="shared" si="247"/>
        <v>1.060992E-3</v>
      </c>
      <c r="BW120" s="538">
        <f t="shared" si="248"/>
        <v>0</v>
      </c>
      <c r="BX120" s="538"/>
      <c r="BY120" s="538">
        <f t="shared" si="249"/>
        <v>1.0880000000000004E-3</v>
      </c>
      <c r="BZ120" s="469">
        <f t="shared" si="250"/>
        <v>2.6929920000000007</v>
      </c>
      <c r="CA120" s="177">
        <f t="shared" si="251"/>
        <v>5.5762902721422224E-2</v>
      </c>
      <c r="CB120" s="5">
        <f t="shared" si="252"/>
        <v>0.32000000000000006</v>
      </c>
      <c r="CC120" s="177">
        <f t="shared" si="253"/>
        <v>0.8516008304237449</v>
      </c>
      <c r="CD120" s="5">
        <f t="shared" si="254"/>
        <v>85.160083042374495</v>
      </c>
      <c r="CG120" s="571">
        <f t="shared" si="255"/>
        <v>-50</v>
      </c>
      <c r="CH120">
        <f t="shared" si="256"/>
        <v>-50</v>
      </c>
    </row>
    <row r="121" spans="5:86" x14ac:dyDescent="0.25">
      <c r="E121" s="174">
        <v>11</v>
      </c>
      <c r="F121" s="221">
        <f t="shared" si="257"/>
        <v>2.2000000000000002E-2</v>
      </c>
      <c r="G121" s="221"/>
      <c r="H121" s="221">
        <f t="shared" si="201"/>
        <v>0.35200000000000004</v>
      </c>
      <c r="I121" s="551">
        <f t="shared" si="202"/>
        <v>12</v>
      </c>
      <c r="J121" s="451">
        <f t="shared" si="203"/>
        <v>19.584</v>
      </c>
      <c r="K121" s="451">
        <f t="shared" si="204"/>
        <v>31.584</v>
      </c>
      <c r="L121" s="451"/>
      <c r="M121" s="221">
        <f t="shared" si="205"/>
        <v>0.62006079027355621</v>
      </c>
      <c r="N121" s="176">
        <f t="shared" si="206"/>
        <v>5.0626723404255323</v>
      </c>
      <c r="O121" s="176">
        <f t="shared" si="173"/>
        <v>0.35200000000000004</v>
      </c>
      <c r="P121" s="221">
        <f t="shared" si="207"/>
        <v>0.31641702127659577</v>
      </c>
      <c r="Q121" s="221">
        <f t="shared" si="208"/>
        <v>16</v>
      </c>
      <c r="R121" s="221"/>
      <c r="S121" s="176">
        <f t="shared" si="209"/>
        <v>358.19074399521037</v>
      </c>
      <c r="T121" s="176">
        <f t="shared" si="210"/>
        <v>16</v>
      </c>
      <c r="U121" s="221">
        <f t="shared" si="211"/>
        <v>0.10512708787218591</v>
      </c>
      <c r="V121" s="221">
        <f t="shared" si="212"/>
        <v>0.26281771968046475</v>
      </c>
      <c r="W121" s="221">
        <f t="shared" si="213"/>
        <v>0.16104026941204952</v>
      </c>
      <c r="X121" s="201">
        <f t="shared" si="214"/>
        <v>350</v>
      </c>
      <c r="Y121" s="451">
        <f t="shared" si="215"/>
        <v>350</v>
      </c>
      <c r="AA121" s="221">
        <f t="shared" si="216"/>
        <v>0.70864090316977857</v>
      </c>
      <c r="AB121" s="177">
        <f t="shared" si="217"/>
        <v>1.0855405992184108</v>
      </c>
      <c r="AC121" s="177">
        <f t="shared" si="218"/>
        <v>0.16154427883809541</v>
      </c>
      <c r="AD121" s="177"/>
      <c r="AE121" s="177">
        <f t="shared" si="219"/>
        <v>0.4595588235294118</v>
      </c>
      <c r="AF121" s="555">
        <f t="shared" si="220"/>
        <v>265.95555555555563</v>
      </c>
      <c r="AG121" s="538">
        <f t="shared" si="221"/>
        <v>2.8952205882352939E-2</v>
      </c>
      <c r="AI121" s="177">
        <f t="shared" si="222"/>
        <v>0.26151208658219116</v>
      </c>
      <c r="AJ121" s="177">
        <f t="shared" si="223"/>
        <v>0.3</v>
      </c>
      <c r="AK121" s="177">
        <f t="shared" si="224"/>
        <v>1.1519746031746032</v>
      </c>
      <c r="AM121" s="555">
        <f t="shared" si="225"/>
        <v>22.000000000000004</v>
      </c>
      <c r="AN121" s="469">
        <f t="shared" si="226"/>
        <v>265.95555555555563</v>
      </c>
      <c r="AP121" s="469">
        <f t="shared" si="227"/>
        <v>22.000000000000004</v>
      </c>
      <c r="AQ121" s="469">
        <f t="shared" si="228"/>
        <v>265.95555555555563</v>
      </c>
      <c r="AS121" s="5">
        <f t="shared" si="175"/>
        <v>3.7600267379679133</v>
      </c>
      <c r="AT121" s="5">
        <f t="shared" si="229"/>
        <v>0.75</v>
      </c>
      <c r="AU121" s="5">
        <f t="shared" si="230"/>
        <v>3.0100267379679133</v>
      </c>
      <c r="AV121" s="5"/>
      <c r="AW121" s="177">
        <f t="shared" si="231"/>
        <v>0.19946666666666674</v>
      </c>
      <c r="AX121" s="177">
        <f t="shared" si="150"/>
        <v>0.35904000000000008</v>
      </c>
      <c r="AY121" s="177">
        <f t="shared" si="151"/>
        <v>0.144096</v>
      </c>
      <c r="AZ121" s="177">
        <f t="shared" si="178"/>
        <v>2.4916722185209865</v>
      </c>
      <c r="BA121" s="469">
        <f t="shared" si="232"/>
        <v>8.6504050333139713</v>
      </c>
      <c r="BB121" s="469">
        <f t="shared" si="233"/>
        <v>0.12329128166666667</v>
      </c>
      <c r="BC121" s="5">
        <f t="shared" si="258"/>
        <v>6.1315359477124166E-2</v>
      </c>
      <c r="BD121" s="469">
        <f t="shared" si="235"/>
        <v>9.9082352941176453</v>
      </c>
      <c r="BF121" s="177">
        <f t="shared" si="179"/>
        <v>7.7356318423254869E-2</v>
      </c>
      <c r="BG121" s="177">
        <f t="shared" si="156"/>
        <v>0.18596515802698096</v>
      </c>
      <c r="BI121" s="538">
        <f t="shared" si="236"/>
        <v>2.0944000000000002E-3</v>
      </c>
      <c r="BJ121" s="538">
        <f t="shared" si="237"/>
        <v>1.2599910400000002E-2</v>
      </c>
      <c r="BK121" s="538">
        <f t="shared" si="238"/>
        <v>3.324444444444445E-3</v>
      </c>
      <c r="BL121" s="538">
        <f t="shared" si="239"/>
        <v>1.3265185669120005E-2</v>
      </c>
      <c r="BM121">
        <f t="shared" si="240"/>
        <v>3.48E-3</v>
      </c>
      <c r="BN121">
        <f t="shared" si="241"/>
        <v>4.6542222222222239E-6</v>
      </c>
      <c r="BO121" s="538">
        <f t="shared" si="242"/>
        <v>3.5064888397753687E-2</v>
      </c>
      <c r="BP121" s="469">
        <f t="shared" si="243"/>
        <v>34.763940513564449</v>
      </c>
      <c r="BQ121" s="538">
        <f t="shared" si="244"/>
        <v>2.1614721280000002E-2</v>
      </c>
      <c r="BT121" s="469">
        <f t="shared" si="245"/>
        <v>21.614721280000001</v>
      </c>
      <c r="BU121" s="538">
        <f t="shared" si="246"/>
        <v>5.9840000000000013E-4</v>
      </c>
      <c r="BV121" s="538">
        <f t="shared" si="247"/>
        <v>1.0374912E-3</v>
      </c>
      <c r="BW121" s="538">
        <f t="shared" si="248"/>
        <v>0</v>
      </c>
      <c r="BX121" s="538"/>
      <c r="BY121" s="538">
        <f t="shared" si="249"/>
        <v>1.1968000000000005E-3</v>
      </c>
      <c r="BZ121" s="469">
        <f t="shared" si="250"/>
        <v>2.8326912000000006</v>
      </c>
      <c r="CA121" s="177">
        <f t="shared" si="251"/>
        <v>5.9211352993564441E-2</v>
      </c>
      <c r="CB121" s="5">
        <f t="shared" si="252"/>
        <v>0.35200000000000004</v>
      </c>
      <c r="CC121" s="177">
        <f t="shared" si="253"/>
        <v>0.85600749453410374</v>
      </c>
      <c r="CD121" s="5">
        <f t="shared" si="254"/>
        <v>85.600749453410373</v>
      </c>
      <c r="CG121" s="571">
        <f t="shared" si="255"/>
        <v>-50</v>
      </c>
      <c r="CH121">
        <f t="shared" si="256"/>
        <v>-50</v>
      </c>
    </row>
    <row r="122" spans="5:86" x14ac:dyDescent="0.25">
      <c r="E122" s="174">
        <v>12</v>
      </c>
      <c r="F122" s="221">
        <f t="shared" si="257"/>
        <v>2.4E-2</v>
      </c>
      <c r="G122" s="221"/>
      <c r="H122" s="221">
        <f t="shared" si="201"/>
        <v>0.38400000000000001</v>
      </c>
      <c r="I122" s="551">
        <f t="shared" si="202"/>
        <v>12</v>
      </c>
      <c r="J122" s="451">
        <f t="shared" si="203"/>
        <v>19.584</v>
      </c>
      <c r="K122" s="451">
        <f t="shared" si="204"/>
        <v>31.584</v>
      </c>
      <c r="L122" s="451"/>
      <c r="M122" s="221">
        <f t="shared" si="205"/>
        <v>0.62006079027355621</v>
      </c>
      <c r="N122" s="176">
        <f t="shared" si="206"/>
        <v>5.0626723404255323</v>
      </c>
      <c r="O122" s="176">
        <f t="shared" si="173"/>
        <v>0.38400000000000001</v>
      </c>
      <c r="P122" s="221">
        <f t="shared" si="207"/>
        <v>0.31641702127659577</v>
      </c>
      <c r="Q122" s="221">
        <f t="shared" si="208"/>
        <v>16</v>
      </c>
      <c r="R122" s="221"/>
      <c r="S122" s="176">
        <f t="shared" si="209"/>
        <v>327.50976116380849</v>
      </c>
      <c r="T122" s="176">
        <f t="shared" si="210"/>
        <v>16</v>
      </c>
      <c r="U122" s="221">
        <f t="shared" si="211"/>
        <v>0.11468409586056644</v>
      </c>
      <c r="V122" s="221">
        <f t="shared" si="212"/>
        <v>0.28671023965141612</v>
      </c>
      <c r="W122" s="221">
        <f t="shared" si="213"/>
        <v>0.17568029390405399</v>
      </c>
      <c r="X122" s="201">
        <f t="shared" si="214"/>
        <v>350</v>
      </c>
      <c r="Y122" s="451">
        <f t="shared" si="215"/>
        <v>350</v>
      </c>
      <c r="AA122" s="221">
        <f t="shared" si="216"/>
        <v>0.70864090316977857</v>
      </c>
      <c r="AB122" s="177">
        <f t="shared" si="217"/>
        <v>1.0855405992184108</v>
      </c>
      <c r="AC122" s="177">
        <f t="shared" si="218"/>
        <v>0.16154427883809541</v>
      </c>
      <c r="AD122" s="177"/>
      <c r="AE122" s="177">
        <f t="shared" si="219"/>
        <v>0.4595588235294118</v>
      </c>
      <c r="AF122" s="555">
        <f t="shared" si="220"/>
        <v>290.13333333333338</v>
      </c>
      <c r="AG122" s="538">
        <f t="shared" si="221"/>
        <v>2.8952205882352939E-2</v>
      </c>
      <c r="AI122" s="177">
        <f t="shared" si="222"/>
        <v>0.27314046621786797</v>
      </c>
      <c r="AJ122" s="177">
        <f t="shared" si="223"/>
        <v>0.3</v>
      </c>
      <c r="AK122" s="177">
        <f t="shared" si="224"/>
        <v>1.1657904761904763</v>
      </c>
      <c r="AM122" s="555">
        <f t="shared" si="225"/>
        <v>24</v>
      </c>
      <c r="AN122" s="469">
        <f t="shared" si="226"/>
        <v>290.13333333333338</v>
      </c>
      <c r="AP122" s="469">
        <f t="shared" si="227"/>
        <v>24</v>
      </c>
      <c r="AQ122" s="469">
        <f t="shared" si="228"/>
        <v>290.13333333333338</v>
      </c>
      <c r="AS122" s="5">
        <f t="shared" si="175"/>
        <v>3.4466911764705879</v>
      </c>
      <c r="AT122" s="5">
        <f t="shared" si="229"/>
        <v>0.75</v>
      </c>
      <c r="AU122" s="5">
        <f t="shared" si="230"/>
        <v>2.6966911764705879</v>
      </c>
      <c r="AV122" s="5"/>
      <c r="AW122" s="177">
        <f t="shared" si="231"/>
        <v>0.21760000000000002</v>
      </c>
      <c r="AX122" s="177">
        <f t="shared" si="150"/>
        <v>0.39168000000000003</v>
      </c>
      <c r="AY122" s="177">
        <f t="shared" si="151"/>
        <v>0.14083199999999998</v>
      </c>
      <c r="AZ122" s="177">
        <f t="shared" si="178"/>
        <v>2.7811860940695303</v>
      </c>
      <c r="BA122" s="469">
        <f t="shared" si="232"/>
        <v>8.6504050333139713</v>
      </c>
      <c r="BB122" s="469">
        <f t="shared" si="233"/>
        <v>0.14018135999999998</v>
      </c>
      <c r="BC122" s="5">
        <f t="shared" si="258"/>
        <v>5.9926470588235282E-2</v>
      </c>
      <c r="BD122" s="469">
        <f t="shared" si="235"/>
        <v>9.6949019607843123</v>
      </c>
      <c r="BF122" s="177">
        <f t="shared" si="179"/>
        <v>8.0796039506896622E-2</v>
      </c>
      <c r="BG122" s="177">
        <f t="shared" si="156"/>
        <v>0.18384689282117334</v>
      </c>
      <c r="BI122" s="538">
        <f t="shared" si="236"/>
        <v>2.2848E-3</v>
      </c>
      <c r="BJ122" s="538">
        <f t="shared" si="237"/>
        <v>1.3745356800000002E-2</v>
      </c>
      <c r="BK122" s="538">
        <f t="shared" si="238"/>
        <v>3.6266666666666669E-3</v>
      </c>
      <c r="BL122" s="538">
        <f t="shared" si="239"/>
        <v>1.4471111639040003E-2</v>
      </c>
      <c r="BM122">
        <f t="shared" si="240"/>
        <v>3.48E-3</v>
      </c>
      <c r="BN122">
        <f t="shared" si="241"/>
        <v>5.0773333333333348E-6</v>
      </c>
      <c r="BO122" s="538">
        <f t="shared" si="242"/>
        <v>3.7937452805345301E-2</v>
      </c>
      <c r="BP122" s="469">
        <f t="shared" si="243"/>
        <v>37.607935105706666</v>
      </c>
      <c r="BQ122" s="538">
        <f t="shared" si="244"/>
        <v>2.2079477760000001E-2</v>
      </c>
      <c r="BT122" s="469">
        <f t="shared" si="245"/>
        <v>22.07947776</v>
      </c>
      <c r="BU122" s="538">
        <f t="shared" si="246"/>
        <v>6.5280000000000004E-4</v>
      </c>
      <c r="BV122" s="538">
        <f t="shared" si="247"/>
        <v>1.0139903999999999E-3</v>
      </c>
      <c r="BW122" s="538">
        <f t="shared" si="248"/>
        <v>0</v>
      </c>
      <c r="BX122" s="538"/>
      <c r="BY122" s="538">
        <f t="shared" si="249"/>
        <v>1.3056000000000005E-3</v>
      </c>
      <c r="BZ122" s="469">
        <f t="shared" si="250"/>
        <v>2.9723904000000001</v>
      </c>
      <c r="CA122" s="177">
        <f t="shared" si="251"/>
        <v>6.2659803265706665E-2</v>
      </c>
      <c r="CB122" s="5">
        <f t="shared" si="252"/>
        <v>0.38400000000000001</v>
      </c>
      <c r="CC122" s="177">
        <f t="shared" si="253"/>
        <v>0.85971470276130513</v>
      </c>
      <c r="CD122" s="5">
        <f t="shared" si="254"/>
        <v>85.971470276130518</v>
      </c>
      <c r="CG122" s="571">
        <f t="shared" si="255"/>
        <v>-50</v>
      </c>
      <c r="CH122">
        <f t="shared" si="256"/>
        <v>-50</v>
      </c>
    </row>
    <row r="123" spans="5:86" x14ac:dyDescent="0.25">
      <c r="E123" s="174">
        <v>13</v>
      </c>
      <c r="F123" s="221">
        <f t="shared" si="257"/>
        <v>2.6000000000000002E-2</v>
      </c>
      <c r="G123" s="221"/>
      <c r="H123" s="221">
        <f t="shared" si="201"/>
        <v>0.41600000000000004</v>
      </c>
      <c r="I123" s="551">
        <f t="shared" si="202"/>
        <v>12</v>
      </c>
      <c r="J123" s="451">
        <f t="shared" si="203"/>
        <v>19.584</v>
      </c>
      <c r="K123" s="451">
        <f t="shared" si="204"/>
        <v>31.584</v>
      </c>
      <c r="L123" s="451"/>
      <c r="M123" s="221">
        <f t="shared" si="205"/>
        <v>0.62006079027355621</v>
      </c>
      <c r="N123" s="176">
        <f t="shared" si="206"/>
        <v>5.0626723404255323</v>
      </c>
      <c r="O123" s="176">
        <f t="shared" si="173"/>
        <v>0.41600000000000004</v>
      </c>
      <c r="P123" s="221">
        <f t="shared" si="207"/>
        <v>0.31641702127659577</v>
      </c>
      <c r="Q123" s="221">
        <f t="shared" si="208"/>
        <v>16</v>
      </c>
      <c r="R123" s="221"/>
      <c r="S123" s="176">
        <f t="shared" si="209"/>
        <v>301.54906216105297</v>
      </c>
      <c r="T123" s="176">
        <f t="shared" si="210"/>
        <v>16</v>
      </c>
      <c r="U123" s="221">
        <f t="shared" si="211"/>
        <v>0.12424110384894699</v>
      </c>
      <c r="V123" s="221">
        <f t="shared" si="212"/>
        <v>0.31060275962236744</v>
      </c>
      <c r="W123" s="221">
        <f t="shared" si="213"/>
        <v>0.19032031839605851</v>
      </c>
      <c r="X123" s="201">
        <f t="shared" si="214"/>
        <v>350</v>
      </c>
      <c r="Y123" s="451">
        <f t="shared" si="215"/>
        <v>350</v>
      </c>
      <c r="AA123" s="221">
        <f t="shared" si="216"/>
        <v>0.70864090316977857</v>
      </c>
      <c r="AB123" s="177">
        <f t="shared" si="217"/>
        <v>1.0855405992184108</v>
      </c>
      <c r="AC123" s="177">
        <f t="shared" si="218"/>
        <v>0.16154427883809541</v>
      </c>
      <c r="AD123" s="177"/>
      <c r="AE123" s="177">
        <f t="shared" si="219"/>
        <v>0.4595588235294118</v>
      </c>
      <c r="AF123" s="555">
        <f t="shared" si="220"/>
        <v>314.31111111111119</v>
      </c>
      <c r="AG123" s="538">
        <f t="shared" si="221"/>
        <v>2.8952205882352939E-2</v>
      </c>
      <c r="AI123" s="177">
        <f t="shared" si="222"/>
        <v>0.2842936108020318</v>
      </c>
      <c r="AJ123" s="177">
        <f t="shared" si="223"/>
        <v>0.3</v>
      </c>
      <c r="AK123" s="177">
        <f t="shared" si="224"/>
        <v>1.1796063492063493</v>
      </c>
      <c r="AM123" s="555">
        <f t="shared" si="225"/>
        <v>26.000000000000004</v>
      </c>
      <c r="AN123" s="469">
        <f t="shared" si="226"/>
        <v>314.31111111111119</v>
      </c>
      <c r="AP123" s="469">
        <f t="shared" si="227"/>
        <v>26.000000000000004</v>
      </c>
      <c r="AQ123" s="469">
        <f t="shared" si="228"/>
        <v>314.31111111111119</v>
      </c>
      <c r="AS123" s="5">
        <f t="shared" si="175"/>
        <v>3.1815610859728496</v>
      </c>
      <c r="AT123" s="5">
        <f t="shared" si="229"/>
        <v>0.75</v>
      </c>
      <c r="AU123" s="5">
        <f t="shared" si="230"/>
        <v>2.4315610859728496</v>
      </c>
      <c r="AV123" s="5"/>
      <c r="AW123" s="177">
        <f t="shared" si="231"/>
        <v>0.23573333333333341</v>
      </c>
      <c r="AX123" s="177">
        <f t="shared" si="150"/>
        <v>0.42432000000000009</v>
      </c>
      <c r="AY123" s="177">
        <f t="shared" si="151"/>
        <v>0.137568</v>
      </c>
      <c r="AZ123" s="177">
        <f t="shared" si="178"/>
        <v>3.084438241451501</v>
      </c>
      <c r="BA123" s="469">
        <f t="shared" si="232"/>
        <v>8.6504050333139713</v>
      </c>
      <c r="BB123" s="469">
        <f t="shared" si="233"/>
        <v>0.1580184016666667</v>
      </c>
      <c r="BC123" s="5">
        <f t="shared" si="258"/>
        <v>5.8537581699346378E-2</v>
      </c>
      <c r="BD123" s="469">
        <f t="shared" si="235"/>
        <v>9.4815686274509776</v>
      </c>
      <c r="BF123" s="177">
        <f t="shared" si="179"/>
        <v>8.4095184166514569E-2</v>
      </c>
      <c r="BG123" s="177">
        <f t="shared" si="156"/>
        <v>0.18170393501517793</v>
      </c>
      <c r="BI123" s="538">
        <f t="shared" si="236"/>
        <v>2.4752000000000008E-3</v>
      </c>
      <c r="BJ123" s="538">
        <f t="shared" si="237"/>
        <v>1.4890803200000004E-2</v>
      </c>
      <c r="BK123" s="538">
        <f t="shared" si="238"/>
        <v>3.9288888888888897E-3</v>
      </c>
      <c r="BL123" s="538">
        <f t="shared" si="239"/>
        <v>1.5677037608960005E-2</v>
      </c>
      <c r="BM123">
        <f t="shared" si="240"/>
        <v>3.48E-3</v>
      </c>
      <c r="BN123">
        <f t="shared" si="241"/>
        <v>5.5004444444444464E-6</v>
      </c>
      <c r="BO123" s="538">
        <f t="shared" si="242"/>
        <v>4.081021912462595E-2</v>
      </c>
      <c r="BP123" s="469">
        <f t="shared" si="243"/>
        <v>40.451929697848897</v>
      </c>
      <c r="BQ123" s="538">
        <f t="shared" si="244"/>
        <v>2.2544234240000002E-2</v>
      </c>
      <c r="BT123" s="469">
        <f t="shared" si="245"/>
        <v>22.544234240000002</v>
      </c>
      <c r="BU123" s="538">
        <f t="shared" si="246"/>
        <v>7.0720000000000028E-4</v>
      </c>
      <c r="BV123" s="538">
        <f t="shared" si="247"/>
        <v>9.9048959999999998E-4</v>
      </c>
      <c r="BW123" s="538">
        <f t="shared" si="248"/>
        <v>0</v>
      </c>
      <c r="BX123" s="538"/>
      <c r="BY123" s="538">
        <f t="shared" si="249"/>
        <v>1.4144000000000006E-3</v>
      </c>
      <c r="BZ123" s="469">
        <f t="shared" si="250"/>
        <v>3.1120896000000009</v>
      </c>
      <c r="CA123" s="177">
        <f t="shared" si="251"/>
        <v>6.610825353784891E-2</v>
      </c>
      <c r="CB123" s="5">
        <f t="shared" si="252"/>
        <v>0.41600000000000004</v>
      </c>
      <c r="CC123" s="177">
        <f t="shared" si="253"/>
        <v>0.86287674385840207</v>
      </c>
      <c r="CD123" s="5">
        <f t="shared" si="254"/>
        <v>86.287674385840205</v>
      </c>
      <c r="CG123" s="571">
        <f t="shared" si="255"/>
        <v>-50</v>
      </c>
      <c r="CH123">
        <f t="shared" si="256"/>
        <v>-50</v>
      </c>
    </row>
    <row r="124" spans="5:86" x14ac:dyDescent="0.25">
      <c r="E124" s="174">
        <v>14</v>
      </c>
      <c r="F124" s="221">
        <f t="shared" si="257"/>
        <v>2.8000000000000004E-2</v>
      </c>
      <c r="G124" s="221"/>
      <c r="H124" s="221">
        <f t="shared" si="201"/>
        <v>0.44800000000000006</v>
      </c>
      <c r="I124" s="551">
        <f t="shared" si="202"/>
        <v>12</v>
      </c>
      <c r="J124" s="451">
        <f t="shared" si="203"/>
        <v>19.584</v>
      </c>
      <c r="K124" s="451">
        <f t="shared" si="204"/>
        <v>31.584</v>
      </c>
      <c r="L124" s="451"/>
      <c r="M124" s="221">
        <f t="shared" si="205"/>
        <v>0.62006079027355621</v>
      </c>
      <c r="N124" s="176">
        <f t="shared" si="206"/>
        <v>5.0626723404255323</v>
      </c>
      <c r="O124" s="176">
        <f t="shared" si="173"/>
        <v>0.44800000000000006</v>
      </c>
      <c r="P124" s="221">
        <f t="shared" si="207"/>
        <v>0.31641702127659577</v>
      </c>
      <c r="Q124" s="221">
        <f t="shared" si="208"/>
        <v>16</v>
      </c>
      <c r="R124" s="221"/>
      <c r="S124" s="176">
        <f t="shared" si="209"/>
        <v>279.2971585047211</v>
      </c>
      <c r="T124" s="176">
        <f t="shared" si="210"/>
        <v>16</v>
      </c>
      <c r="U124" s="221">
        <f t="shared" si="211"/>
        <v>0.13379811183732754</v>
      </c>
      <c r="V124" s="221">
        <f t="shared" si="212"/>
        <v>0.33449527959331887</v>
      </c>
      <c r="W124" s="221">
        <f t="shared" si="213"/>
        <v>0.204960342888063</v>
      </c>
      <c r="X124" s="201">
        <f t="shared" si="214"/>
        <v>350</v>
      </c>
      <c r="Y124" s="451">
        <f t="shared" si="215"/>
        <v>350</v>
      </c>
      <c r="AA124" s="221">
        <f t="shared" si="216"/>
        <v>0.70864090316977857</v>
      </c>
      <c r="AB124" s="177">
        <f t="shared" si="217"/>
        <v>1.0855405992184108</v>
      </c>
      <c r="AC124" s="177">
        <f t="shared" si="218"/>
        <v>0.16154427883809541</v>
      </c>
      <c r="AD124" s="177"/>
      <c r="AE124" s="177">
        <f t="shared" si="219"/>
        <v>0.4595588235294118</v>
      </c>
      <c r="AF124" s="555">
        <f t="shared" si="220"/>
        <v>338.48888888888899</v>
      </c>
      <c r="AG124" s="538">
        <f t="shared" si="221"/>
        <v>2.8952205882352939E-2</v>
      </c>
      <c r="AI124" s="177">
        <f t="shared" si="222"/>
        <v>0.29502542263337239</v>
      </c>
      <c r="AJ124" s="177">
        <f t="shared" si="223"/>
        <v>0.3</v>
      </c>
      <c r="AK124" s="177">
        <f t="shared" si="224"/>
        <v>1.1934222222222224</v>
      </c>
      <c r="AM124" s="555">
        <f t="shared" si="225"/>
        <v>28.000000000000004</v>
      </c>
      <c r="AN124" s="469">
        <f t="shared" si="226"/>
        <v>338.48888888888899</v>
      </c>
      <c r="AP124" s="469">
        <f t="shared" si="227"/>
        <v>28.000000000000004</v>
      </c>
      <c r="AQ124" s="469">
        <f t="shared" si="228"/>
        <v>338.48888888888899</v>
      </c>
      <c r="AS124" s="5">
        <f t="shared" si="175"/>
        <v>2.9543067226890747</v>
      </c>
      <c r="AT124" s="5">
        <f t="shared" si="229"/>
        <v>0.75</v>
      </c>
      <c r="AU124" s="5">
        <f t="shared" si="230"/>
        <v>2.2043067226890747</v>
      </c>
      <c r="AV124" s="5"/>
      <c r="AW124" s="177">
        <f t="shared" si="231"/>
        <v>0.25386666666666674</v>
      </c>
      <c r="AX124" s="177">
        <f t="shared" si="150"/>
        <v>0.45696000000000014</v>
      </c>
      <c r="AY124" s="177">
        <f t="shared" si="151"/>
        <v>0.13430399999999998</v>
      </c>
      <c r="AZ124" s="177">
        <f t="shared" si="178"/>
        <v>3.4024303073624034</v>
      </c>
      <c r="BA124" s="469">
        <f t="shared" si="232"/>
        <v>8.6504050333139713</v>
      </c>
      <c r="BB124" s="469">
        <f t="shared" si="233"/>
        <v>0.17680240666666669</v>
      </c>
      <c r="BC124" s="5">
        <f t="shared" si="258"/>
        <v>5.7148692810457501E-2</v>
      </c>
      <c r="BD124" s="469">
        <f t="shared" si="235"/>
        <v>9.2682352941176447</v>
      </c>
      <c r="BF124" s="177">
        <f t="shared" si="179"/>
        <v>8.7269696917085735E-2</v>
      </c>
      <c r="BG124" s="177">
        <f t="shared" si="156"/>
        <v>0.17953540040894442</v>
      </c>
      <c r="BI124" s="538">
        <f t="shared" si="236"/>
        <v>2.665600000000001E-3</v>
      </c>
      <c r="BJ124" s="538">
        <f t="shared" si="237"/>
        <v>1.6036249600000003E-2</v>
      </c>
      <c r="BK124" s="538">
        <f t="shared" si="238"/>
        <v>4.2311111111111126E-3</v>
      </c>
      <c r="BL124" s="538">
        <f t="shared" si="239"/>
        <v>1.6882963578880004E-2</v>
      </c>
      <c r="BM124">
        <f t="shared" si="240"/>
        <v>3.48E-3</v>
      </c>
      <c r="BN124">
        <f t="shared" si="241"/>
        <v>5.9235555555555581E-6</v>
      </c>
      <c r="BO124" s="538">
        <f t="shared" si="242"/>
        <v>4.3683187376884827E-2</v>
      </c>
      <c r="BP124" s="469">
        <f t="shared" si="243"/>
        <v>43.295924289991113</v>
      </c>
      <c r="BQ124" s="538">
        <f t="shared" si="244"/>
        <v>2.3008990720000004E-2</v>
      </c>
      <c r="BT124" s="469">
        <f t="shared" si="245"/>
        <v>23.008990720000003</v>
      </c>
      <c r="BU124" s="538">
        <f t="shared" si="246"/>
        <v>7.616000000000003E-4</v>
      </c>
      <c r="BV124" s="538">
        <f t="shared" si="247"/>
        <v>9.6698879999999995E-4</v>
      </c>
      <c r="BW124" s="538">
        <f t="shared" si="248"/>
        <v>0</v>
      </c>
      <c r="BX124" s="538"/>
      <c r="BY124" s="538">
        <f t="shared" si="249"/>
        <v>1.5232000000000008E-3</v>
      </c>
      <c r="BZ124" s="469">
        <f t="shared" si="250"/>
        <v>3.2517888000000013</v>
      </c>
      <c r="CA124" s="177">
        <f t="shared" si="251"/>
        <v>6.9556703809991113E-2</v>
      </c>
      <c r="CB124" s="5">
        <f t="shared" si="252"/>
        <v>0.44800000000000006</v>
      </c>
      <c r="CC124" s="177">
        <f t="shared" si="253"/>
        <v>0.86560563644920496</v>
      </c>
      <c r="CD124" s="5">
        <f t="shared" si="254"/>
        <v>86.560563644920492</v>
      </c>
      <c r="CG124" s="571">
        <f t="shared" si="255"/>
        <v>-50</v>
      </c>
      <c r="CH124">
        <f t="shared" si="256"/>
        <v>-50</v>
      </c>
    </row>
    <row r="125" spans="5:86" x14ac:dyDescent="0.25">
      <c r="E125" s="174">
        <v>15</v>
      </c>
      <c r="F125" s="221">
        <f t="shared" si="257"/>
        <v>0.03</v>
      </c>
      <c r="G125" s="221"/>
      <c r="H125" s="221">
        <f t="shared" si="201"/>
        <v>0.48</v>
      </c>
      <c r="I125" s="551">
        <f t="shared" si="202"/>
        <v>12</v>
      </c>
      <c r="J125" s="451">
        <f t="shared" si="203"/>
        <v>19.584</v>
      </c>
      <c r="K125" s="451">
        <f t="shared" si="204"/>
        <v>31.584</v>
      </c>
      <c r="L125" s="451"/>
      <c r="M125" s="221">
        <f t="shared" si="205"/>
        <v>0.62006079027355621</v>
      </c>
      <c r="N125" s="176">
        <f t="shared" si="206"/>
        <v>5.0626723404255323</v>
      </c>
      <c r="O125" s="176">
        <f t="shared" si="173"/>
        <v>0.48</v>
      </c>
      <c r="P125" s="221">
        <f t="shared" si="207"/>
        <v>0.31641702127659577</v>
      </c>
      <c r="Q125" s="221">
        <f t="shared" si="208"/>
        <v>16</v>
      </c>
      <c r="R125" s="221"/>
      <c r="S125" s="176">
        <f t="shared" si="209"/>
        <v>260.01229198258739</v>
      </c>
      <c r="T125" s="176">
        <f t="shared" si="210"/>
        <v>16</v>
      </c>
      <c r="U125" s="221">
        <f t="shared" si="211"/>
        <v>0.14335511982570803</v>
      </c>
      <c r="V125" s="221">
        <f t="shared" si="212"/>
        <v>0.35838779956427014</v>
      </c>
      <c r="W125" s="221">
        <f t="shared" si="213"/>
        <v>0.2196003673800675</v>
      </c>
      <c r="X125" s="201">
        <f t="shared" si="214"/>
        <v>350</v>
      </c>
      <c r="Y125" s="451">
        <f t="shared" si="215"/>
        <v>350</v>
      </c>
      <c r="AA125" s="221">
        <f t="shared" si="216"/>
        <v>0.70864090316977857</v>
      </c>
      <c r="AB125" s="177">
        <f t="shared" si="217"/>
        <v>1.0855405992184108</v>
      </c>
      <c r="AC125" s="177">
        <f t="shared" si="218"/>
        <v>0.16154427883809541</v>
      </c>
      <c r="AD125" s="177"/>
      <c r="AE125" s="177">
        <f t="shared" si="219"/>
        <v>0.4595588235294118</v>
      </c>
      <c r="AF125" s="555">
        <f t="shared" si="220"/>
        <v>362.66666666666669</v>
      </c>
      <c r="AG125" s="538">
        <f t="shared" si="221"/>
        <v>2.8952205882352939E-2</v>
      </c>
      <c r="AI125" s="177">
        <f t="shared" si="222"/>
        <v>0.30538032493456885</v>
      </c>
      <c r="AJ125" s="177">
        <f t="shared" si="223"/>
        <v>0.30538032493456885</v>
      </c>
      <c r="AK125" s="177">
        <f t="shared" si="224"/>
        <v>1.2035868832897125</v>
      </c>
      <c r="AM125" s="555">
        <f t="shared" si="225"/>
        <v>30</v>
      </c>
      <c r="AN125" s="469">
        <f t="shared" si="226"/>
        <v>350</v>
      </c>
      <c r="AP125" s="469">
        <f t="shared" si="227"/>
        <v>30</v>
      </c>
      <c r="AQ125" s="469">
        <f t="shared" si="228"/>
        <v>350</v>
      </c>
      <c r="AS125" s="5">
        <f t="shared" si="175"/>
        <v>2.8571428571428572</v>
      </c>
      <c r="AT125" s="5">
        <f t="shared" si="229"/>
        <v>0.7634508123364222</v>
      </c>
      <c r="AU125" s="5">
        <f t="shared" si="230"/>
        <v>2.0936920448064349</v>
      </c>
      <c r="AV125" s="5"/>
      <c r="AW125" s="177">
        <f t="shared" si="231"/>
        <v>0.26720778431774778</v>
      </c>
      <c r="AX125" s="177">
        <f t="shared" si="150"/>
        <v>0.48960000000000009</v>
      </c>
      <c r="AY125" s="177">
        <f t="shared" si="151"/>
        <v>0.1342681949607413</v>
      </c>
      <c r="AZ125" s="177">
        <f t="shared" si="178"/>
        <v>3.6464331716320033</v>
      </c>
      <c r="BA125" s="469">
        <f t="shared" si="232"/>
        <v>8.6504050333139713</v>
      </c>
      <c r="BB125" s="469">
        <f t="shared" si="233"/>
        <v>0.19653337499999995</v>
      </c>
      <c r="BC125" s="5">
        <f t="shared" si="258"/>
        <v>5.8158112355734301E-2</v>
      </c>
      <c r="BD125" s="469">
        <f t="shared" si="235"/>
        <v>9.4386313102508215</v>
      </c>
      <c r="BF125" s="177">
        <f t="shared" si="179"/>
        <v>9.113915096280123E-2</v>
      </c>
      <c r="BG125" s="177">
        <f t="shared" si="156"/>
        <v>0.1811140303907772</v>
      </c>
      <c r="BI125" s="538">
        <f t="shared" si="236"/>
        <v>2.9072206933770952E-3</v>
      </c>
      <c r="BJ125" s="538">
        <f t="shared" si="237"/>
        <v>1.6878981319783489E-2</v>
      </c>
      <c r="BK125" s="538">
        <f t="shared" si="238"/>
        <v>4.3749999999999995E-3</v>
      </c>
      <c r="BL125" s="538">
        <f t="shared" si="239"/>
        <v>1.7457108480000001E-2</v>
      </c>
      <c r="BM125">
        <f t="shared" si="240"/>
        <v>3.48E-3</v>
      </c>
      <c r="BN125">
        <f t="shared" si="241"/>
        <v>6.1250000000000006E-6</v>
      </c>
      <c r="BO125" s="538">
        <f t="shared" si="242"/>
        <v>4.5521327117168629E-2</v>
      </c>
      <c r="BP125" s="469">
        <f t="shared" si="243"/>
        <v>45.098310493160582</v>
      </c>
      <c r="BQ125" s="538">
        <f t="shared" si="244"/>
        <v>2.3990475545677504E-2</v>
      </c>
      <c r="BT125" s="469">
        <f t="shared" si="245"/>
        <v>23.990475545677505</v>
      </c>
      <c r="BU125" s="538">
        <f t="shared" si="246"/>
        <v>8.3063448382202738E-4</v>
      </c>
      <c r="BV125" s="538">
        <f t="shared" si="247"/>
        <v>9.8406876013174102E-4</v>
      </c>
      <c r="BW125" s="538">
        <f t="shared" si="248"/>
        <v>0</v>
      </c>
      <c r="BX125" s="538"/>
      <c r="BY125" s="538">
        <f t="shared" si="249"/>
        <v>1.6320000000000002E-3</v>
      </c>
      <c r="BZ125" s="469">
        <f t="shared" si="250"/>
        <v>3.4467032439537686</v>
      </c>
      <c r="CA125" s="177">
        <f t="shared" si="251"/>
        <v>7.253548928279184E-2</v>
      </c>
      <c r="CB125" s="5">
        <f t="shared" si="252"/>
        <v>0.48</v>
      </c>
      <c r="CC125" s="177">
        <f t="shared" si="253"/>
        <v>0.8687224790267406</v>
      </c>
      <c r="CD125" s="5">
        <f t="shared" si="254"/>
        <v>86.872247902674061</v>
      </c>
      <c r="CG125" s="571">
        <f t="shared" si="255"/>
        <v>-50</v>
      </c>
      <c r="CH125">
        <f t="shared" si="256"/>
        <v>-50</v>
      </c>
    </row>
    <row r="126" spans="5:86" x14ac:dyDescent="0.25">
      <c r="E126" s="174">
        <v>16</v>
      </c>
      <c r="F126" s="221">
        <f t="shared" si="257"/>
        <v>3.2000000000000001E-2</v>
      </c>
      <c r="G126" s="221"/>
      <c r="H126" s="221">
        <f t="shared" si="201"/>
        <v>0.51200000000000001</v>
      </c>
      <c r="I126" s="551">
        <f t="shared" si="202"/>
        <v>12</v>
      </c>
      <c r="J126" s="451">
        <f t="shared" si="203"/>
        <v>19.584</v>
      </c>
      <c r="K126" s="451">
        <f t="shared" si="204"/>
        <v>31.584</v>
      </c>
      <c r="L126" s="451"/>
      <c r="M126" s="221">
        <f t="shared" si="205"/>
        <v>0.62006079027355621</v>
      </c>
      <c r="N126" s="176">
        <f t="shared" si="206"/>
        <v>5.0626723404255323</v>
      </c>
      <c r="O126" s="176">
        <f t="shared" si="173"/>
        <v>0.51200000000000001</v>
      </c>
      <c r="P126" s="221">
        <f t="shared" si="207"/>
        <v>0.31641702127659577</v>
      </c>
      <c r="Q126" s="221">
        <f t="shared" si="208"/>
        <v>16</v>
      </c>
      <c r="R126" s="221"/>
      <c r="S126" s="176">
        <f t="shared" si="209"/>
        <v>243.13814394313607</v>
      </c>
      <c r="T126" s="176">
        <f t="shared" si="210"/>
        <v>16</v>
      </c>
      <c r="U126" s="221">
        <f t="shared" si="211"/>
        <v>0.15291212781408858</v>
      </c>
      <c r="V126" s="221">
        <f t="shared" si="212"/>
        <v>0.38228031953522146</v>
      </c>
      <c r="W126" s="221">
        <f t="shared" si="213"/>
        <v>0.23424039187207199</v>
      </c>
      <c r="X126" s="201">
        <f t="shared" si="214"/>
        <v>350</v>
      </c>
      <c r="Y126" s="451">
        <f t="shared" si="215"/>
        <v>350</v>
      </c>
      <c r="AA126" s="221">
        <f t="shared" si="216"/>
        <v>0.70864090316977857</v>
      </c>
      <c r="AB126" s="177">
        <f t="shared" si="217"/>
        <v>1.0855405992184108</v>
      </c>
      <c r="AC126" s="177">
        <f t="shared" si="218"/>
        <v>0.16154427883809541</v>
      </c>
      <c r="AD126" s="177"/>
      <c r="AE126" s="177">
        <f t="shared" si="219"/>
        <v>0.4595588235294118</v>
      </c>
      <c r="AF126" s="555">
        <f t="shared" si="220"/>
        <v>386.84444444444449</v>
      </c>
      <c r="AG126" s="538">
        <f t="shared" si="221"/>
        <v>2.8952205882352939E-2</v>
      </c>
      <c r="AI126" s="177">
        <f t="shared" si="222"/>
        <v>0.31539544339493192</v>
      </c>
      <c r="AJ126" s="177">
        <f t="shared" si="223"/>
        <v>0.31539544339493192</v>
      </c>
      <c r="AK126" s="177">
        <f t="shared" si="224"/>
        <v>1.2102636289299546</v>
      </c>
      <c r="AM126" s="555">
        <f t="shared" si="225"/>
        <v>32</v>
      </c>
      <c r="AN126" s="469">
        <f t="shared" si="226"/>
        <v>350</v>
      </c>
      <c r="AP126" s="469">
        <f t="shared" si="227"/>
        <v>32</v>
      </c>
      <c r="AQ126" s="469">
        <f t="shared" si="228"/>
        <v>350</v>
      </c>
      <c r="AS126" s="5">
        <f t="shared" si="175"/>
        <v>2.8571428571428572</v>
      </c>
      <c r="AT126" s="5">
        <f t="shared" si="229"/>
        <v>0.78848860848732982</v>
      </c>
      <c r="AU126" s="5">
        <f t="shared" si="230"/>
        <v>2.0686542486555273</v>
      </c>
      <c r="AV126" s="5"/>
      <c r="AW126" s="177">
        <f t="shared" si="231"/>
        <v>0.27597101297056542</v>
      </c>
      <c r="AX126" s="177">
        <f t="shared" si="150"/>
        <v>0.52224000000000004</v>
      </c>
      <c r="AY126" s="177">
        <f t="shared" si="151"/>
        <v>0.13701326603695915</v>
      </c>
      <c r="AZ126" s="177">
        <f t="shared" si="178"/>
        <v>3.8116017164288785</v>
      </c>
      <c r="BA126" s="469">
        <f t="shared" si="232"/>
        <v>8.6504050333139713</v>
      </c>
      <c r="BB126" s="469">
        <f t="shared" si="233"/>
        <v>0.21721130666666663</v>
      </c>
      <c r="BC126" s="5">
        <f t="shared" si="258"/>
        <v>6.1293459219423023E-2</v>
      </c>
      <c r="BD126" s="469">
        <f t="shared" si="235"/>
        <v>9.9491756973299061</v>
      </c>
      <c r="BF126" s="177">
        <f t="shared" si="179"/>
        <v>9.5659150796103265E-2</v>
      </c>
      <c r="BG126" s="177">
        <f t="shared" si="156"/>
        <v>0.18593194409291697</v>
      </c>
      <c r="BI126" s="538">
        <f t="shared" si="236"/>
        <v>3.2027355958610683E-3</v>
      </c>
      <c r="BJ126" s="538">
        <f t="shared" si="237"/>
        <v>1.7432536947324676E-2</v>
      </c>
      <c r="BK126" s="538">
        <f t="shared" si="238"/>
        <v>4.3749999999999995E-3</v>
      </c>
      <c r="BL126" s="538">
        <f t="shared" si="239"/>
        <v>1.7457108480000001E-2</v>
      </c>
      <c r="BM126">
        <f t="shared" si="240"/>
        <v>3.48E-3</v>
      </c>
      <c r="BN126">
        <f t="shared" si="241"/>
        <v>6.1250000000000006E-6</v>
      </c>
      <c r="BO126" s="538">
        <f t="shared" si="242"/>
        <v>4.6413301167238505E-2</v>
      </c>
      <c r="BP126" s="469">
        <f t="shared" si="243"/>
        <v>45.947381023185741</v>
      </c>
      <c r="BQ126" s="538">
        <f t="shared" si="244"/>
        <v>2.5430002752653554E-2</v>
      </c>
      <c r="BT126" s="469">
        <f t="shared" si="245"/>
        <v>25.430002752653554</v>
      </c>
      <c r="BU126" s="538">
        <f t="shared" si="246"/>
        <v>9.1506731310316252E-4</v>
      </c>
      <c r="BV126" s="538">
        <f t="shared" si="247"/>
        <v>1.037120635025148E-3</v>
      </c>
      <c r="BW126" s="538">
        <f t="shared" si="248"/>
        <v>0</v>
      </c>
      <c r="BX126" s="538"/>
      <c r="BY126" s="538">
        <f t="shared" si="249"/>
        <v>1.7408E-3</v>
      </c>
      <c r="BZ126" s="469">
        <f t="shared" si="250"/>
        <v>3.6929879481283101</v>
      </c>
      <c r="CA126" s="177">
        <f t="shared" si="251"/>
        <v>7.5070371723967605E-2</v>
      </c>
      <c r="CB126" s="5">
        <f t="shared" si="252"/>
        <v>0.51200000000000001</v>
      </c>
      <c r="CC126" s="177">
        <f t="shared" si="253"/>
        <v>0.87212713272598152</v>
      </c>
      <c r="CD126" s="5">
        <f t="shared" si="254"/>
        <v>87.212713272598151</v>
      </c>
      <c r="CG126" s="571">
        <f t="shared" si="255"/>
        <v>-50</v>
      </c>
      <c r="CH126">
        <f t="shared" si="256"/>
        <v>-50</v>
      </c>
    </row>
    <row r="127" spans="5:86" x14ac:dyDescent="0.25">
      <c r="E127" s="174">
        <v>17</v>
      </c>
      <c r="F127" s="221">
        <f t="shared" si="257"/>
        <v>3.4000000000000002E-2</v>
      </c>
      <c r="G127" s="221"/>
      <c r="H127" s="221">
        <f t="shared" si="201"/>
        <v>0.54400000000000004</v>
      </c>
      <c r="I127" s="551">
        <f t="shared" si="202"/>
        <v>12</v>
      </c>
      <c r="J127" s="451">
        <f t="shared" si="203"/>
        <v>19.584</v>
      </c>
      <c r="K127" s="451">
        <f t="shared" si="204"/>
        <v>31.584</v>
      </c>
      <c r="L127" s="451"/>
      <c r="M127" s="221">
        <f t="shared" si="205"/>
        <v>0.62006079027355621</v>
      </c>
      <c r="N127" s="176">
        <f t="shared" si="206"/>
        <v>5.0626723404255323</v>
      </c>
      <c r="O127" s="176">
        <f t="shared" si="173"/>
        <v>0.54400000000000004</v>
      </c>
      <c r="P127" s="221">
        <f t="shared" si="207"/>
        <v>0.31641702127659577</v>
      </c>
      <c r="Q127" s="221">
        <f t="shared" si="208"/>
        <v>16</v>
      </c>
      <c r="R127" s="221"/>
      <c r="S127" s="176">
        <f t="shared" si="209"/>
        <v>228.24929424837558</v>
      </c>
      <c r="T127" s="176">
        <f t="shared" si="210"/>
        <v>16</v>
      </c>
      <c r="U127" s="221">
        <f t="shared" si="211"/>
        <v>0.16246913580246913</v>
      </c>
      <c r="V127" s="221">
        <f t="shared" si="212"/>
        <v>0.40617283950617283</v>
      </c>
      <c r="W127" s="221">
        <f t="shared" si="213"/>
        <v>0.24888041636407648</v>
      </c>
      <c r="X127" s="201">
        <f t="shared" si="214"/>
        <v>350</v>
      </c>
      <c r="Y127" s="451">
        <f t="shared" si="215"/>
        <v>350</v>
      </c>
      <c r="AA127" s="221">
        <f t="shared" si="216"/>
        <v>0.70864090316977857</v>
      </c>
      <c r="AB127" s="177">
        <f t="shared" si="217"/>
        <v>1.0855405992184108</v>
      </c>
      <c r="AC127" s="177">
        <f t="shared" si="218"/>
        <v>0.16154427883809541</v>
      </c>
      <c r="AD127" s="177"/>
      <c r="AE127" s="177">
        <f t="shared" si="219"/>
        <v>0.4595588235294118</v>
      </c>
      <c r="AF127" s="555">
        <f t="shared" si="220"/>
        <v>411.0222222222223</v>
      </c>
      <c r="AG127" s="538">
        <f t="shared" si="221"/>
        <v>2.8952205882352939E-2</v>
      </c>
      <c r="AI127" s="177">
        <f t="shared" si="222"/>
        <v>0.32510218173895505</v>
      </c>
      <c r="AJ127" s="177">
        <f t="shared" si="223"/>
        <v>0.32510218173895505</v>
      </c>
      <c r="AK127" s="177">
        <f t="shared" si="224"/>
        <v>1.21673478782597</v>
      </c>
      <c r="AM127" s="555">
        <f t="shared" si="225"/>
        <v>34</v>
      </c>
      <c r="AN127" s="469">
        <f t="shared" si="226"/>
        <v>350</v>
      </c>
      <c r="AP127" s="469">
        <f t="shared" si="227"/>
        <v>34</v>
      </c>
      <c r="AQ127" s="469">
        <f t="shared" si="228"/>
        <v>350</v>
      </c>
      <c r="AS127" s="5">
        <f t="shared" si="175"/>
        <v>2.8571428571428572</v>
      </c>
      <c r="AT127" s="5">
        <f t="shared" si="229"/>
        <v>0.81275545434738761</v>
      </c>
      <c r="AU127" s="5">
        <f t="shared" si="230"/>
        <v>2.0443874027954694</v>
      </c>
      <c r="AV127" s="5"/>
      <c r="AW127" s="177">
        <f t="shared" si="231"/>
        <v>0.28446440902158565</v>
      </c>
      <c r="AX127" s="177">
        <f t="shared" si="150"/>
        <v>0.55488000000000004</v>
      </c>
      <c r="AY127" s="177">
        <f t="shared" si="151"/>
        <v>0.13957330904337303</v>
      </c>
      <c r="AZ127" s="177">
        <f t="shared" si="178"/>
        <v>3.9755452084865923</v>
      </c>
      <c r="BA127" s="469">
        <f t="shared" si="232"/>
        <v>8.6504050333139713</v>
      </c>
      <c r="BB127" s="469">
        <f t="shared" si="233"/>
        <v>0.23883620166666666</v>
      </c>
      <c r="BC127" s="5">
        <f t="shared" si="258"/>
        <v>6.4360344162079586E-2</v>
      </c>
      <c r="BD127" s="469">
        <f t="shared" si="235"/>
        <v>10.448766177043845</v>
      </c>
      <c r="BF127" s="177">
        <f t="shared" si="179"/>
        <v>0.10010902351473044</v>
      </c>
      <c r="BG127" s="177">
        <f t="shared" si="156"/>
        <v>0.19052682180213049</v>
      </c>
      <c r="BI127" s="538">
        <f t="shared" si="236"/>
        <v>3.5076358061754982E-3</v>
      </c>
      <c r="BJ127" s="538">
        <f t="shared" si="237"/>
        <v>1.7969047789075522E-2</v>
      </c>
      <c r="BK127" s="538">
        <f t="shared" si="238"/>
        <v>4.3749999999999995E-3</v>
      </c>
      <c r="BL127" s="538">
        <f t="shared" si="239"/>
        <v>1.7457108480000001E-2</v>
      </c>
      <c r="BM127">
        <f t="shared" si="240"/>
        <v>3.48E-3</v>
      </c>
      <c r="BN127">
        <f t="shared" si="241"/>
        <v>6.1250000000000006E-6</v>
      </c>
      <c r="BO127" s="538">
        <f t="shared" si="242"/>
        <v>4.7299057910938601E-2</v>
      </c>
      <c r="BP127" s="469">
        <f t="shared" si="243"/>
        <v>46.788792075251017</v>
      </c>
      <c r="BQ127" s="538">
        <f t="shared" si="244"/>
        <v>2.6854779473539942E-2</v>
      </c>
      <c r="BT127" s="469">
        <f t="shared" si="245"/>
        <v>26.854779473539942</v>
      </c>
      <c r="BU127" s="538">
        <f t="shared" si="246"/>
        <v>1.0021816589072853E-3</v>
      </c>
      <c r="BV127" s="538">
        <f t="shared" si="247"/>
        <v>1.0890140947806234E-3</v>
      </c>
      <c r="BW127" s="538">
        <f t="shared" si="248"/>
        <v>0</v>
      </c>
      <c r="BX127" s="538"/>
      <c r="BY127" s="538">
        <f t="shared" si="249"/>
        <v>1.8496000000000001E-3</v>
      </c>
      <c r="BZ127" s="469">
        <f t="shared" si="250"/>
        <v>3.9407957536879086</v>
      </c>
      <c r="CA127" s="177">
        <f t="shared" si="251"/>
        <v>7.7584367302478877E-2</v>
      </c>
      <c r="CB127" s="5">
        <f t="shared" si="252"/>
        <v>0.54400000000000004</v>
      </c>
      <c r="CC127" s="177">
        <f t="shared" si="253"/>
        <v>0.875182885246655</v>
      </c>
      <c r="CD127" s="5">
        <f t="shared" si="254"/>
        <v>87.518288524665493</v>
      </c>
      <c r="CG127" s="571">
        <f t="shared" si="255"/>
        <v>-50</v>
      </c>
      <c r="CH127">
        <f t="shared" si="256"/>
        <v>-50</v>
      </c>
    </row>
    <row r="128" spans="5:86" x14ac:dyDescent="0.25">
      <c r="E128" s="174">
        <v>18</v>
      </c>
      <c r="F128" s="221">
        <f t="shared" si="257"/>
        <v>3.5999999999999997E-2</v>
      </c>
      <c r="G128" s="221"/>
      <c r="H128" s="221">
        <f t="shared" si="201"/>
        <v>0.57599999999999996</v>
      </c>
      <c r="I128" s="551">
        <f t="shared" si="202"/>
        <v>12</v>
      </c>
      <c r="J128" s="451">
        <f t="shared" si="203"/>
        <v>19.584</v>
      </c>
      <c r="K128" s="451">
        <f t="shared" si="204"/>
        <v>31.584</v>
      </c>
      <c r="L128" s="451"/>
      <c r="M128" s="221">
        <f t="shared" si="205"/>
        <v>0.62006079027355621</v>
      </c>
      <c r="N128" s="176">
        <f t="shared" si="206"/>
        <v>5.0626723404255323</v>
      </c>
      <c r="O128" s="176">
        <f t="shared" si="173"/>
        <v>0.57599999999999996</v>
      </c>
      <c r="P128" s="221">
        <f t="shared" si="207"/>
        <v>0.31641702127659577</v>
      </c>
      <c r="Q128" s="221">
        <f t="shared" si="208"/>
        <v>16</v>
      </c>
      <c r="R128" s="221"/>
      <c r="S128" s="176">
        <f t="shared" si="209"/>
        <v>215.01486057571657</v>
      </c>
      <c r="T128" s="176">
        <f t="shared" si="210"/>
        <v>16</v>
      </c>
      <c r="U128" s="221">
        <f t="shared" si="211"/>
        <v>0.17202614379084966</v>
      </c>
      <c r="V128" s="221">
        <f t="shared" si="212"/>
        <v>0.4300653594771241</v>
      </c>
      <c r="W128" s="221">
        <f t="shared" si="213"/>
        <v>0.26352044085608101</v>
      </c>
      <c r="X128" s="201">
        <f t="shared" si="214"/>
        <v>350</v>
      </c>
      <c r="Y128" s="451">
        <f t="shared" si="215"/>
        <v>350</v>
      </c>
      <c r="AA128" s="221">
        <f t="shared" si="216"/>
        <v>0.70864090316977857</v>
      </c>
      <c r="AB128" s="177">
        <f t="shared" si="217"/>
        <v>1.0855405992184108</v>
      </c>
      <c r="AC128" s="177">
        <f t="shared" si="218"/>
        <v>0.16154427883809541</v>
      </c>
      <c r="AD128" s="177"/>
      <c r="AE128" s="177">
        <f t="shared" si="219"/>
        <v>0.4595588235294118</v>
      </c>
      <c r="AF128" s="555">
        <f t="shared" si="220"/>
        <v>435.2</v>
      </c>
      <c r="AG128" s="538">
        <f t="shared" si="221"/>
        <v>2.8952205882352939E-2</v>
      </c>
      <c r="AI128" s="177">
        <f t="shared" si="222"/>
        <v>0.33452738516984137</v>
      </c>
      <c r="AJ128" s="177">
        <f t="shared" si="223"/>
        <v>0.33452738516984137</v>
      </c>
      <c r="AK128" s="177">
        <f t="shared" si="224"/>
        <v>1.2230182567798942</v>
      </c>
      <c r="AM128" s="555">
        <f t="shared" si="225"/>
        <v>36</v>
      </c>
      <c r="AN128" s="469">
        <f t="shared" si="226"/>
        <v>350</v>
      </c>
      <c r="AP128" s="469">
        <f t="shared" si="227"/>
        <v>36</v>
      </c>
      <c r="AQ128" s="469">
        <f t="shared" si="228"/>
        <v>350</v>
      </c>
      <c r="AS128" s="5">
        <f t="shared" si="175"/>
        <v>2.8571428571428572</v>
      </c>
      <c r="AT128" s="5">
        <f t="shared" si="229"/>
        <v>0.83631846292460343</v>
      </c>
      <c r="AU128" s="5">
        <f t="shared" si="230"/>
        <v>2.0208243942182538</v>
      </c>
      <c r="AV128" s="5"/>
      <c r="AW128" s="177">
        <f t="shared" si="231"/>
        <v>0.2927114620236112</v>
      </c>
      <c r="AX128" s="177">
        <f t="shared" si="150"/>
        <v>0.58751999999999993</v>
      </c>
      <c r="AY128" s="177">
        <f t="shared" si="151"/>
        <v>0.14196443110190482</v>
      </c>
      <c r="AZ128" s="177">
        <f t="shared" si="178"/>
        <v>4.1385014220799201</v>
      </c>
      <c r="BA128" s="469">
        <f t="shared" si="232"/>
        <v>8.6504050333139713</v>
      </c>
      <c r="BB128" s="469">
        <f t="shared" si="233"/>
        <v>0.26140805999999994</v>
      </c>
      <c r="BC128" s="5">
        <f t="shared" si="258"/>
        <v>6.7360813140608447E-2</v>
      </c>
      <c r="BD128" s="469">
        <f t="shared" si="235"/>
        <v>10.937730102497353</v>
      </c>
      <c r="BF128" s="177">
        <f t="shared" si="179"/>
        <v>0.10449389385004092</v>
      </c>
      <c r="BG128" s="177">
        <f t="shared" si="156"/>
        <v>0.19491739773277156</v>
      </c>
      <c r="BI128" s="538">
        <f t="shared" si="236"/>
        <v>3.8216408481802663E-3</v>
      </c>
      <c r="BJ128" s="538">
        <f t="shared" si="237"/>
        <v>1.848999763310747E-2</v>
      </c>
      <c r="BK128" s="538">
        <f t="shared" si="238"/>
        <v>4.3749999999999995E-3</v>
      </c>
      <c r="BL128" s="538">
        <f t="shared" si="239"/>
        <v>1.7457108480000001E-2</v>
      </c>
      <c r="BM128">
        <f t="shared" si="240"/>
        <v>3.48E-3</v>
      </c>
      <c r="BN128">
        <f t="shared" si="241"/>
        <v>6.1250000000000006E-6</v>
      </c>
      <c r="BO128" s="538">
        <f t="shared" si="242"/>
        <v>4.8179764677912226E-2</v>
      </c>
      <c r="BP128" s="469">
        <f t="shared" si="243"/>
        <v>47.623746961287736</v>
      </c>
      <c r="BQ128" s="538">
        <f t="shared" si="244"/>
        <v>2.8265246520665709E-2</v>
      </c>
      <c r="BT128" s="469">
        <f t="shared" si="245"/>
        <v>28.265246520665709</v>
      </c>
      <c r="BU128" s="538">
        <f t="shared" si="246"/>
        <v>1.091897385194362E-3</v>
      </c>
      <c r="BV128" s="538">
        <f t="shared" si="247"/>
        <v>1.1397837581674636E-3</v>
      </c>
      <c r="BW128" s="538">
        <f t="shared" si="248"/>
        <v>0</v>
      </c>
      <c r="BX128" s="538"/>
      <c r="BY128" s="538">
        <f t="shared" si="249"/>
        <v>1.9583999999999999E-3</v>
      </c>
      <c r="BZ128" s="469">
        <f t="shared" si="250"/>
        <v>4.1900811433618257</v>
      </c>
      <c r="CA128" s="177">
        <f t="shared" si="251"/>
        <v>8.0079074625315272E-2</v>
      </c>
      <c r="CB128" s="5">
        <f t="shared" si="252"/>
        <v>0.57599999999999996</v>
      </c>
      <c r="CC128" s="177">
        <f t="shared" si="253"/>
        <v>0.8779429527286049</v>
      </c>
      <c r="CD128" s="5">
        <f t="shared" si="254"/>
        <v>87.794295272860495</v>
      </c>
      <c r="CG128" s="571">
        <f t="shared" si="255"/>
        <v>-50</v>
      </c>
      <c r="CH128">
        <f t="shared" si="256"/>
        <v>-50</v>
      </c>
    </row>
    <row r="129" spans="5:86" x14ac:dyDescent="0.25">
      <c r="E129" s="174">
        <v>19</v>
      </c>
      <c r="F129" s="221">
        <f t="shared" si="257"/>
        <v>3.8000000000000006E-2</v>
      </c>
      <c r="G129" s="221"/>
      <c r="H129" s="221">
        <f t="shared" si="201"/>
        <v>0.6080000000000001</v>
      </c>
      <c r="I129" s="551">
        <f t="shared" si="202"/>
        <v>12</v>
      </c>
      <c r="J129" s="451">
        <f t="shared" si="203"/>
        <v>19.584</v>
      </c>
      <c r="K129" s="451">
        <f t="shared" si="204"/>
        <v>31.584</v>
      </c>
      <c r="L129" s="451"/>
      <c r="M129" s="221">
        <f t="shared" si="205"/>
        <v>0.62006079027355621</v>
      </c>
      <c r="N129" s="176">
        <f t="shared" si="206"/>
        <v>5.0626723404255323</v>
      </c>
      <c r="O129" s="176">
        <f t="shared" si="173"/>
        <v>0.6080000000000001</v>
      </c>
      <c r="P129" s="221">
        <f t="shared" si="207"/>
        <v>0.31641702127659577</v>
      </c>
      <c r="Q129" s="221">
        <f t="shared" si="208"/>
        <v>16</v>
      </c>
      <c r="R129" s="221"/>
      <c r="S129" s="176">
        <f t="shared" si="209"/>
        <v>203.17362004557305</v>
      </c>
      <c r="T129" s="176">
        <f t="shared" si="210"/>
        <v>16</v>
      </c>
      <c r="U129" s="221">
        <f t="shared" si="211"/>
        <v>0.18158315177923023</v>
      </c>
      <c r="V129" s="221">
        <f t="shared" si="212"/>
        <v>0.45395787944807559</v>
      </c>
      <c r="W129" s="221">
        <f t="shared" si="213"/>
        <v>0.27816046534808553</v>
      </c>
      <c r="X129" s="201">
        <f t="shared" si="214"/>
        <v>350</v>
      </c>
      <c r="Y129" s="451">
        <f t="shared" si="215"/>
        <v>350</v>
      </c>
      <c r="AA129" s="221">
        <f t="shared" si="216"/>
        <v>0.70864090316977857</v>
      </c>
      <c r="AB129" s="177">
        <f t="shared" si="217"/>
        <v>1.0855405992184108</v>
      </c>
      <c r="AC129" s="177">
        <f t="shared" si="218"/>
        <v>0.16154427883809541</v>
      </c>
      <c r="AD129" s="177"/>
      <c r="AE129" s="177">
        <f t="shared" si="219"/>
        <v>0.4595588235294118</v>
      </c>
      <c r="AF129" s="555">
        <f t="shared" si="220"/>
        <v>459.37777777777785</v>
      </c>
      <c r="AG129" s="538">
        <f t="shared" si="221"/>
        <v>2.8952205882352939E-2</v>
      </c>
      <c r="AI129" s="177">
        <f t="shared" si="222"/>
        <v>0.34369421625292779</v>
      </c>
      <c r="AJ129" s="177">
        <f t="shared" si="223"/>
        <v>0.34369421625292779</v>
      </c>
      <c r="AK129" s="177">
        <f t="shared" si="224"/>
        <v>1.2291294775019519</v>
      </c>
      <c r="AM129" s="555">
        <f t="shared" si="225"/>
        <v>38.000000000000007</v>
      </c>
      <c r="AN129" s="469">
        <f t="shared" si="226"/>
        <v>350</v>
      </c>
      <c r="AP129" s="469">
        <f t="shared" si="227"/>
        <v>38.000000000000007</v>
      </c>
      <c r="AQ129" s="469">
        <f t="shared" si="228"/>
        <v>350</v>
      </c>
      <c r="AS129" s="5">
        <f t="shared" si="175"/>
        <v>2.8571428571428572</v>
      </c>
      <c r="AT129" s="5">
        <f t="shared" si="229"/>
        <v>0.85923554063231944</v>
      </c>
      <c r="AU129" s="5">
        <f t="shared" si="230"/>
        <v>1.9979073165105379</v>
      </c>
      <c r="AV129" s="5"/>
      <c r="AW129" s="177">
        <f t="shared" si="231"/>
        <v>0.30073243922131182</v>
      </c>
      <c r="AX129" s="177">
        <f t="shared" si="150"/>
        <v>0.62016000000000004</v>
      </c>
      <c r="AY129" s="177">
        <f t="shared" si="151"/>
        <v>0.14420052975175668</v>
      </c>
      <c r="AZ129" s="177">
        <f t="shared" si="178"/>
        <v>4.3006776817506465</v>
      </c>
      <c r="BA129" s="469">
        <f t="shared" si="232"/>
        <v>8.6504050333139713</v>
      </c>
      <c r="BB129" s="469">
        <f t="shared" si="233"/>
        <v>0.28492688166666669</v>
      </c>
      <c r="BC129" s="5">
        <f t="shared" si="258"/>
        <v>7.0296738914259679E-2</v>
      </c>
      <c r="BD129" s="469">
        <f t="shared" si="235"/>
        <v>11.416367115170436</v>
      </c>
      <c r="BF129" s="177">
        <f t="shared" si="179"/>
        <v>0.1088182493762001</v>
      </c>
      <c r="BG129" s="177">
        <f t="shared" si="156"/>
        <v>0.19911983940589548</v>
      </c>
      <c r="BI129" s="538">
        <f t="shared" si="236"/>
        <v>4.1444939890553055E-3</v>
      </c>
      <c r="BJ129" s="538">
        <f t="shared" si="237"/>
        <v>1.8996666720731827E-2</v>
      </c>
      <c r="BK129" s="538">
        <f t="shared" si="238"/>
        <v>4.3749999999999995E-3</v>
      </c>
      <c r="BL129" s="538">
        <f t="shared" si="239"/>
        <v>1.7457108480000001E-2</v>
      </c>
      <c r="BM129">
        <f t="shared" si="240"/>
        <v>3.48E-3</v>
      </c>
      <c r="BN129">
        <f t="shared" si="241"/>
        <v>6.1250000000000006E-6</v>
      </c>
      <c r="BO129" s="538">
        <f t="shared" si="242"/>
        <v>4.9056412312408003E-2</v>
      </c>
      <c r="BP129" s="469">
        <f t="shared" si="243"/>
        <v>48.453269189787129</v>
      </c>
      <c r="BQ129" s="538">
        <f t="shared" si="244"/>
        <v>2.9661807390001311E-2</v>
      </c>
      <c r="BT129" s="469">
        <f t="shared" si="245"/>
        <v>29.661807390001311</v>
      </c>
      <c r="BU129" s="538">
        <f t="shared" si="246"/>
        <v>1.1841411397300874E-3</v>
      </c>
      <c r="BV129" s="538">
        <f t="shared" si="247"/>
        <v>1.1894613133508882E-3</v>
      </c>
      <c r="BW129" s="538">
        <f t="shared" si="248"/>
        <v>0</v>
      </c>
      <c r="BX129" s="538"/>
      <c r="BY129" s="538">
        <f t="shared" si="249"/>
        <v>2.0672000000000004E-3</v>
      </c>
      <c r="BZ129" s="469">
        <f t="shared" si="250"/>
        <v>4.440802453080976</v>
      </c>
      <c r="CA129" s="177">
        <f t="shared" si="251"/>
        <v>8.2555879032869428E-2</v>
      </c>
      <c r="CB129" s="5">
        <f t="shared" si="252"/>
        <v>0.6080000000000001</v>
      </c>
      <c r="CC129" s="177">
        <f t="shared" si="253"/>
        <v>0.88045011049867572</v>
      </c>
      <c r="CD129" s="5">
        <f t="shared" si="254"/>
        <v>88.045011049867568</v>
      </c>
      <c r="CG129" s="571">
        <f t="shared" si="255"/>
        <v>-50</v>
      </c>
      <c r="CH129">
        <f t="shared" si="256"/>
        <v>-50</v>
      </c>
    </row>
    <row r="130" spans="5:86" x14ac:dyDescent="0.25">
      <c r="E130" s="174">
        <v>20</v>
      </c>
      <c r="F130" s="221">
        <f t="shared" si="257"/>
        <v>4.0000000000000008E-2</v>
      </c>
      <c r="G130" s="221"/>
      <c r="H130" s="221">
        <f t="shared" si="201"/>
        <v>0.64000000000000012</v>
      </c>
      <c r="I130" s="551">
        <f t="shared" si="202"/>
        <v>12</v>
      </c>
      <c r="J130" s="451">
        <f t="shared" si="203"/>
        <v>19.584</v>
      </c>
      <c r="K130" s="451">
        <f t="shared" si="204"/>
        <v>31.584</v>
      </c>
      <c r="L130" s="451"/>
      <c r="M130" s="221">
        <f t="shared" si="205"/>
        <v>0.62006079027355621</v>
      </c>
      <c r="N130" s="176">
        <f t="shared" si="206"/>
        <v>5.0626723404255323</v>
      </c>
      <c r="O130" s="176">
        <f t="shared" si="173"/>
        <v>0.64000000000000012</v>
      </c>
      <c r="P130" s="221">
        <f t="shared" si="207"/>
        <v>0.31641702127659577</v>
      </c>
      <c r="Q130" s="221">
        <f t="shared" si="208"/>
        <v>16</v>
      </c>
      <c r="R130" s="221"/>
      <c r="S130" s="176">
        <f t="shared" si="209"/>
        <v>192.51659436068451</v>
      </c>
      <c r="T130" s="176">
        <f t="shared" si="210"/>
        <v>16</v>
      </c>
      <c r="U130" s="221">
        <f t="shared" si="211"/>
        <v>0.19114015976761076</v>
      </c>
      <c r="V130" s="221">
        <f t="shared" si="212"/>
        <v>0.47785039941902696</v>
      </c>
      <c r="W130" s="221">
        <f t="shared" si="213"/>
        <v>0.29280048984009005</v>
      </c>
      <c r="X130" s="201">
        <f t="shared" si="214"/>
        <v>350</v>
      </c>
      <c r="Y130" s="451">
        <f t="shared" si="215"/>
        <v>350</v>
      </c>
      <c r="AA130" s="221">
        <f t="shared" si="216"/>
        <v>0.70864090316977857</v>
      </c>
      <c r="AB130" s="177">
        <f t="shared" si="217"/>
        <v>1.0855405992184108</v>
      </c>
      <c r="AC130" s="177">
        <f t="shared" si="218"/>
        <v>0.16154427883809541</v>
      </c>
      <c r="AD130" s="177"/>
      <c r="AE130" s="177">
        <f t="shared" si="219"/>
        <v>0.4595588235294118</v>
      </c>
      <c r="AF130" s="555">
        <f t="shared" si="220"/>
        <v>483.55555555555566</v>
      </c>
      <c r="AG130" s="538">
        <f t="shared" si="221"/>
        <v>2.8952205882352939E-2</v>
      </c>
      <c r="AI130" s="177">
        <f t="shared" si="222"/>
        <v>0.35262282561237746</v>
      </c>
      <c r="AJ130" s="177">
        <f t="shared" si="223"/>
        <v>0.35262282561237746</v>
      </c>
      <c r="AK130" s="177">
        <f t="shared" si="224"/>
        <v>1.2350818837415849</v>
      </c>
      <c r="AM130" s="555">
        <f t="shared" si="225"/>
        <v>40.000000000000007</v>
      </c>
      <c r="AN130" s="469">
        <f t="shared" si="226"/>
        <v>350</v>
      </c>
      <c r="AP130" s="469">
        <f t="shared" si="227"/>
        <v>40.000000000000007</v>
      </c>
      <c r="AQ130" s="469">
        <f t="shared" si="228"/>
        <v>350</v>
      </c>
      <c r="AS130" s="5">
        <f t="shared" si="175"/>
        <v>2.8571428571428572</v>
      </c>
      <c r="AT130" s="5">
        <f t="shared" si="229"/>
        <v>0.88155706403094369</v>
      </c>
      <c r="AU130" s="5">
        <f t="shared" si="230"/>
        <v>1.9755857931119136</v>
      </c>
      <c r="AV130" s="5"/>
      <c r="AW130" s="177">
        <f t="shared" si="231"/>
        <v>0.30854497241083029</v>
      </c>
      <c r="AX130" s="177">
        <f t="shared" si="150"/>
        <v>0.65280000000000016</v>
      </c>
      <c r="AY130" s="177">
        <f t="shared" si="151"/>
        <v>0.14629369536742645</v>
      </c>
      <c r="AZ130" s="177">
        <f t="shared" si="178"/>
        <v>4.4622565474229701</v>
      </c>
      <c r="BA130" s="469">
        <f t="shared" si="232"/>
        <v>8.6504050333139713</v>
      </c>
      <c r="BB130" s="469">
        <f t="shared" si="233"/>
        <v>0.30939266666666676</v>
      </c>
      <c r="BC130" s="5">
        <f t="shared" si="258"/>
        <v>7.3169844189330147E-2</v>
      </c>
      <c r="BD130" s="469">
        <f t="shared" si="235"/>
        <v>11.884952848070602</v>
      </c>
      <c r="BF130" s="177">
        <f t="shared" si="179"/>
        <v>0.11308604898723018</v>
      </c>
      <c r="BG130" s="177">
        <f t="shared" si="156"/>
        <v>0.20314821432587252</v>
      </c>
      <c r="BI130" s="538">
        <f t="shared" si="236"/>
        <v>4.475959066439778E-3</v>
      </c>
      <c r="BJ130" s="538">
        <f t="shared" si="237"/>
        <v>1.9490168817247328E-2</v>
      </c>
      <c r="BK130" s="538">
        <f t="shared" si="238"/>
        <v>4.3749999999999995E-3</v>
      </c>
      <c r="BL130" s="538">
        <f t="shared" si="239"/>
        <v>1.7457108480000001E-2</v>
      </c>
      <c r="BM130">
        <f t="shared" si="240"/>
        <v>3.48E-3</v>
      </c>
      <c r="BN130">
        <f t="shared" si="241"/>
        <v>6.1250000000000006E-6</v>
      </c>
      <c r="BO130" s="538">
        <f t="shared" si="242"/>
        <v>4.9929848628027879E-2</v>
      </c>
      <c r="BP130" s="469">
        <f t="shared" si="243"/>
        <v>49.278236363687107</v>
      </c>
      <c r="BQ130" s="538">
        <f t="shared" si="244"/>
        <v>3.1044833247808032E-2</v>
      </c>
      <c r="BT130" s="469">
        <f t="shared" si="245"/>
        <v>31.044833247808032</v>
      </c>
      <c r="BU130" s="538">
        <f t="shared" si="246"/>
        <v>1.2788454475542227E-3</v>
      </c>
      <c r="BV130" s="538">
        <f t="shared" si="247"/>
        <v>1.2380759095137191E-3</v>
      </c>
      <c r="BW130" s="538">
        <f t="shared" si="248"/>
        <v>0</v>
      </c>
      <c r="BX130" s="538"/>
      <c r="BY130" s="538">
        <f t="shared" si="249"/>
        <v>2.1760000000000004E-3</v>
      </c>
      <c r="BZ130" s="469">
        <f t="shared" si="250"/>
        <v>4.6929213570679424</v>
      </c>
      <c r="CA130" s="177">
        <f t="shared" si="251"/>
        <v>8.5015990968563063E-2</v>
      </c>
      <c r="CB130" s="5">
        <f t="shared" si="252"/>
        <v>0.64000000000000012</v>
      </c>
      <c r="CC130" s="177">
        <f t="shared" si="253"/>
        <v>0.882739150546199</v>
      </c>
      <c r="CD130" s="5">
        <f t="shared" si="254"/>
        <v>88.273915054619906</v>
      </c>
      <c r="CG130" s="571">
        <f t="shared" si="255"/>
        <v>-50</v>
      </c>
      <c r="CH130">
        <f t="shared" si="256"/>
        <v>-50</v>
      </c>
    </row>
    <row r="131" spans="5:86" x14ac:dyDescent="0.25">
      <c r="E131" s="174">
        <v>21</v>
      </c>
      <c r="F131" s="221">
        <f t="shared" si="257"/>
        <v>4.2000000000000003E-2</v>
      </c>
      <c r="G131" s="221"/>
      <c r="H131" s="221">
        <f t="shared" si="201"/>
        <v>0.67200000000000004</v>
      </c>
      <c r="I131" s="551">
        <f t="shared" si="202"/>
        <v>12</v>
      </c>
      <c r="J131" s="451">
        <f t="shared" si="203"/>
        <v>19.584</v>
      </c>
      <c r="K131" s="451">
        <f t="shared" si="204"/>
        <v>31.584</v>
      </c>
      <c r="L131" s="451"/>
      <c r="M131" s="221">
        <f t="shared" si="205"/>
        <v>0.62006079027355621</v>
      </c>
      <c r="N131" s="176">
        <f t="shared" si="206"/>
        <v>5.0626723404255323</v>
      </c>
      <c r="O131" s="176">
        <f t="shared" si="173"/>
        <v>0.67200000000000004</v>
      </c>
      <c r="P131" s="221">
        <f t="shared" si="207"/>
        <v>0.31641702127659577</v>
      </c>
      <c r="Q131" s="221">
        <f t="shared" si="208"/>
        <v>16</v>
      </c>
      <c r="R131" s="221"/>
      <c r="S131" s="176">
        <f t="shared" si="209"/>
        <v>182.874610619918</v>
      </c>
      <c r="T131" s="176">
        <f t="shared" si="210"/>
        <v>16</v>
      </c>
      <c r="U131" s="221">
        <f t="shared" si="211"/>
        <v>0.20069716775599128</v>
      </c>
      <c r="V131" s="221">
        <f t="shared" si="212"/>
        <v>0.50174291938997828</v>
      </c>
      <c r="W131" s="221">
        <f t="shared" si="213"/>
        <v>0.30744051433209446</v>
      </c>
      <c r="X131" s="201">
        <f t="shared" si="214"/>
        <v>350</v>
      </c>
      <c r="Y131" s="451">
        <f t="shared" si="215"/>
        <v>350</v>
      </c>
      <c r="AA131" s="221">
        <f t="shared" si="216"/>
        <v>0.70864090316977857</v>
      </c>
      <c r="AB131" s="177">
        <f t="shared" si="217"/>
        <v>1.0855405992184108</v>
      </c>
      <c r="AC131" s="177">
        <f t="shared" si="218"/>
        <v>0.16154427883809541</v>
      </c>
      <c r="AD131" s="177"/>
      <c r="AE131" s="177">
        <f t="shared" si="219"/>
        <v>0.4595588235294118</v>
      </c>
      <c r="AF131" s="555">
        <f t="shared" si="220"/>
        <v>507.73333333333341</v>
      </c>
      <c r="AG131" s="538">
        <f t="shared" si="221"/>
        <v>2.8952205882352939E-2</v>
      </c>
      <c r="AI131" s="177">
        <f t="shared" si="222"/>
        <v>0.3613308733003589</v>
      </c>
      <c r="AJ131" s="177">
        <f t="shared" si="223"/>
        <v>0.3613308733003589</v>
      </c>
      <c r="AK131" s="177">
        <f t="shared" si="224"/>
        <v>1.2408872488669058</v>
      </c>
      <c r="AM131" s="555">
        <f t="shared" si="225"/>
        <v>42</v>
      </c>
      <c r="AN131" s="469">
        <f t="shared" si="226"/>
        <v>350</v>
      </c>
      <c r="AP131" s="469">
        <f t="shared" si="227"/>
        <v>42</v>
      </c>
      <c r="AQ131" s="469">
        <f t="shared" si="228"/>
        <v>350</v>
      </c>
      <c r="AS131" s="5">
        <f t="shared" si="175"/>
        <v>2.8571428571428572</v>
      </c>
      <c r="AT131" s="5">
        <f t="shared" si="229"/>
        <v>0.90332718325089734</v>
      </c>
      <c r="AU131" s="5">
        <f t="shared" si="230"/>
        <v>1.9538156738919599</v>
      </c>
      <c r="AV131" s="5"/>
      <c r="AW131" s="177">
        <f t="shared" si="231"/>
        <v>0.31616451413781405</v>
      </c>
      <c r="AX131" s="177">
        <f t="shared" si="150"/>
        <v>0.68544000000000005</v>
      </c>
      <c r="AY131" s="177">
        <f t="shared" si="151"/>
        <v>0.14825452398021535</v>
      </c>
      <c r="AZ131" s="177">
        <f t="shared" si="178"/>
        <v>4.6234002281877915</v>
      </c>
      <c r="BA131" s="469">
        <f t="shared" si="232"/>
        <v>8.6504050333139713</v>
      </c>
      <c r="BB131" s="469">
        <f t="shared" si="233"/>
        <v>0.33480541499999994</v>
      </c>
      <c r="BC131" s="5">
        <f t="shared" si="258"/>
        <v>7.5981720651354001E-2</v>
      </c>
      <c r="BD131" s="469">
        <f t="shared" si="235"/>
        <v>12.343741970883304</v>
      </c>
      <c r="BF131" s="177">
        <f t="shared" si="179"/>
        <v>0.11730080841698266</v>
      </c>
      <c r="BG131" s="177">
        <f t="shared" si="156"/>
        <v>0.20701485284008048</v>
      </c>
      <c r="BI131" s="538">
        <f t="shared" si="236"/>
        <v>4.8158178793471845E-3</v>
      </c>
      <c r="BJ131" s="538">
        <f t="shared" si="237"/>
        <v>1.9971480029057437E-2</v>
      </c>
      <c r="BK131" s="538">
        <f t="shared" si="238"/>
        <v>4.3749999999999995E-3</v>
      </c>
      <c r="BL131" s="538">
        <f t="shared" si="239"/>
        <v>1.7457108480000001E-2</v>
      </c>
      <c r="BM131">
        <f t="shared" si="240"/>
        <v>3.48E-3</v>
      </c>
      <c r="BN131">
        <f t="shared" si="241"/>
        <v>6.1250000000000006E-6</v>
      </c>
      <c r="BO131" s="538">
        <f t="shared" si="242"/>
        <v>5.0800804251364594E-2</v>
      </c>
      <c r="BP131" s="469">
        <f t="shared" si="243"/>
        <v>50.099406388404617</v>
      </c>
      <c r="BQ131" s="538">
        <f t="shared" si="244"/>
        <v>3.2414667031224871E-2</v>
      </c>
      <c r="BT131" s="469">
        <f t="shared" si="245"/>
        <v>32.414667031224873</v>
      </c>
      <c r="BU131" s="538">
        <f t="shared" si="246"/>
        <v>1.3759479655277671E-3</v>
      </c>
      <c r="BV131" s="538">
        <f t="shared" si="247"/>
        <v>1.2856544788920053E-3</v>
      </c>
      <c r="BW131" s="538">
        <f t="shared" si="248"/>
        <v>0</v>
      </c>
      <c r="BX131" s="538"/>
      <c r="BY131" s="538">
        <f t="shared" si="249"/>
        <v>2.2848000000000005E-3</v>
      </c>
      <c r="BZ131" s="469">
        <f t="shared" si="250"/>
        <v>4.9464024444197729</v>
      </c>
      <c r="CA131" s="177">
        <f t="shared" si="251"/>
        <v>8.7460475864049272E-2</v>
      </c>
      <c r="CB131" s="5">
        <f t="shared" si="252"/>
        <v>0.67200000000000004</v>
      </c>
      <c r="CC131" s="177">
        <f t="shared" si="253"/>
        <v>0.88483867344835265</v>
      </c>
      <c r="CD131" s="5">
        <f t="shared" si="254"/>
        <v>88.483867344835261</v>
      </c>
      <c r="CG131" s="571">
        <f t="shared" si="255"/>
        <v>-50</v>
      </c>
      <c r="CH131">
        <f t="shared" si="256"/>
        <v>-50</v>
      </c>
    </row>
    <row r="132" spans="5:86" x14ac:dyDescent="0.25">
      <c r="E132" s="174">
        <v>22</v>
      </c>
      <c r="F132" s="221">
        <f t="shared" si="257"/>
        <v>4.4000000000000004E-2</v>
      </c>
      <c r="G132" s="221"/>
      <c r="H132" s="221">
        <f t="shared" si="201"/>
        <v>0.70400000000000007</v>
      </c>
      <c r="I132" s="551">
        <f t="shared" si="202"/>
        <v>12</v>
      </c>
      <c r="J132" s="451">
        <f t="shared" si="203"/>
        <v>19.584</v>
      </c>
      <c r="K132" s="451">
        <f t="shared" si="204"/>
        <v>31.584</v>
      </c>
      <c r="L132" s="451"/>
      <c r="M132" s="221">
        <f t="shared" si="205"/>
        <v>0.62006079027355621</v>
      </c>
      <c r="N132" s="176">
        <f t="shared" si="206"/>
        <v>5.0626723404255323</v>
      </c>
      <c r="O132" s="176">
        <f t="shared" si="173"/>
        <v>0.70400000000000007</v>
      </c>
      <c r="P132" s="221">
        <f t="shared" si="207"/>
        <v>0.31641702127659577</v>
      </c>
      <c r="Q132" s="221">
        <f t="shared" si="208"/>
        <v>16</v>
      </c>
      <c r="R132" s="221"/>
      <c r="S132" s="176">
        <f t="shared" si="209"/>
        <v>174.10925463739812</v>
      </c>
      <c r="T132" s="176">
        <f t="shared" si="210"/>
        <v>16</v>
      </c>
      <c r="U132" s="221">
        <f t="shared" si="211"/>
        <v>0.21025417574437183</v>
      </c>
      <c r="V132" s="221">
        <f t="shared" si="212"/>
        <v>0.52563543936092949</v>
      </c>
      <c r="W132" s="221">
        <f t="shared" si="213"/>
        <v>0.32208053882409904</v>
      </c>
      <c r="X132" s="201">
        <f t="shared" si="214"/>
        <v>350</v>
      </c>
      <c r="Y132" s="451">
        <f t="shared" si="215"/>
        <v>350</v>
      </c>
      <c r="AA132" s="221">
        <f t="shared" si="216"/>
        <v>0.70864090316977857</v>
      </c>
      <c r="AB132" s="177">
        <f t="shared" si="217"/>
        <v>1.0855405992184108</v>
      </c>
      <c r="AC132" s="177">
        <f t="shared" si="218"/>
        <v>0.16154427883809541</v>
      </c>
      <c r="AD132" s="177"/>
      <c r="AE132" s="177">
        <f t="shared" si="219"/>
        <v>0.4595588235294118</v>
      </c>
      <c r="AF132" s="555">
        <f t="shared" si="220"/>
        <v>531.91111111111127</v>
      </c>
      <c r="AG132" s="538">
        <f t="shared" si="221"/>
        <v>2.8952205882352939E-2</v>
      </c>
      <c r="AI132" s="177">
        <f t="shared" si="222"/>
        <v>0.36983393956902183</v>
      </c>
      <c r="AJ132" s="177">
        <f t="shared" si="223"/>
        <v>0.36983393956902183</v>
      </c>
      <c r="AK132" s="177">
        <f t="shared" si="224"/>
        <v>1.2465559597126812</v>
      </c>
      <c r="AM132" s="555">
        <f t="shared" si="225"/>
        <v>44.000000000000007</v>
      </c>
      <c r="AN132" s="469">
        <f t="shared" si="226"/>
        <v>350</v>
      </c>
      <c r="AP132" s="469">
        <f t="shared" si="227"/>
        <v>44.000000000000007</v>
      </c>
      <c r="AQ132" s="469">
        <f t="shared" si="228"/>
        <v>350</v>
      </c>
      <c r="AS132" s="5">
        <f t="shared" si="175"/>
        <v>2.8571428571428572</v>
      </c>
      <c r="AT132" s="5">
        <f t="shared" si="229"/>
        <v>0.92458484892255466</v>
      </c>
      <c r="AU132" s="5">
        <f t="shared" si="230"/>
        <v>1.9325580082203024</v>
      </c>
      <c r="AV132" s="5"/>
      <c r="AW132" s="177">
        <f t="shared" si="231"/>
        <v>0.32360469712289414</v>
      </c>
      <c r="AX132" s="177">
        <f t="shared" si="150"/>
        <v>0.71808000000000016</v>
      </c>
      <c r="AY132" s="177">
        <f t="shared" si="151"/>
        <v>0.15009236374141308</v>
      </c>
      <c r="AZ132" s="177">
        <f t="shared" si="178"/>
        <v>4.7842540559701341</v>
      </c>
      <c r="BA132" s="469">
        <f t="shared" si="232"/>
        <v>8.6504050333139713</v>
      </c>
      <c r="BB132" s="469">
        <f t="shared" si="233"/>
        <v>0.36116512666666667</v>
      </c>
      <c r="BC132" s="5">
        <f t="shared" si="258"/>
        <v>7.8733844779345655E-2</v>
      </c>
      <c r="BD132" s="469">
        <f t="shared" si="235"/>
        <v>12.79297072025086</v>
      </c>
      <c r="BF132" s="177">
        <f t="shared" si="179"/>
        <v>0.12146566852080817</v>
      </c>
      <c r="BG132" s="177">
        <f t="shared" si="156"/>
        <v>0.21073063409331524</v>
      </c>
      <c r="BI132" s="538">
        <f t="shared" si="236"/>
        <v>5.163868020222397E-3</v>
      </c>
      <c r="BJ132" s="538">
        <f t="shared" si="237"/>
        <v>2.0441461507858975E-2</v>
      </c>
      <c r="BK132" s="538">
        <f t="shared" si="238"/>
        <v>4.3749999999999995E-3</v>
      </c>
      <c r="BL132" s="538">
        <f t="shared" si="239"/>
        <v>1.7457108480000001E-2</v>
      </c>
      <c r="BM132">
        <f t="shared" si="240"/>
        <v>3.48E-3</v>
      </c>
      <c r="BN132">
        <f t="shared" si="241"/>
        <v>6.1250000000000006E-6</v>
      </c>
      <c r="BO132" s="538">
        <f t="shared" si="242"/>
        <v>5.1669912855467466E-2</v>
      </c>
      <c r="BP132" s="469">
        <f t="shared" si="243"/>
        <v>50.917438008081369</v>
      </c>
      <c r="BQ132" s="538">
        <f t="shared" si="244"/>
        <v>3.3771626855531617E-2</v>
      </c>
      <c r="BT132" s="469">
        <f t="shared" si="245"/>
        <v>33.771626855531615</v>
      </c>
      <c r="BU132" s="538">
        <f t="shared" si="246"/>
        <v>1.475390862920685E-3</v>
      </c>
      <c r="BV132" s="538">
        <f t="shared" si="247"/>
        <v>1.3322220043611214E-3</v>
      </c>
      <c r="BW132" s="538">
        <f t="shared" si="248"/>
        <v>0</v>
      </c>
      <c r="BX132" s="538"/>
      <c r="BY132" s="538">
        <f t="shared" si="249"/>
        <v>2.3936000000000009E-3</v>
      </c>
      <c r="BZ132" s="469">
        <f t="shared" si="250"/>
        <v>5.2012128672818072</v>
      </c>
      <c r="CA132" s="177">
        <f t="shared" si="251"/>
        <v>8.9890277730894794E-2</v>
      </c>
      <c r="CB132" s="5">
        <f t="shared" si="252"/>
        <v>0.70400000000000007</v>
      </c>
      <c r="CC132" s="177">
        <f t="shared" si="253"/>
        <v>0.88677241647571248</v>
      </c>
      <c r="CD132" s="5">
        <f t="shared" si="254"/>
        <v>88.67724164757125</v>
      </c>
      <c r="CG132" s="571">
        <f t="shared" si="255"/>
        <v>-50</v>
      </c>
      <c r="CH132">
        <f t="shared" si="256"/>
        <v>-50</v>
      </c>
    </row>
    <row r="133" spans="5:86" x14ac:dyDescent="0.25">
      <c r="E133" s="174">
        <v>23</v>
      </c>
      <c r="F133" s="221">
        <f t="shared" si="257"/>
        <v>4.6000000000000006E-2</v>
      </c>
      <c r="G133" s="221"/>
      <c r="H133" s="221">
        <f t="shared" si="201"/>
        <v>0.7360000000000001</v>
      </c>
      <c r="I133" s="551">
        <f t="shared" si="202"/>
        <v>12</v>
      </c>
      <c r="J133" s="451">
        <f t="shared" si="203"/>
        <v>19.584</v>
      </c>
      <c r="K133" s="451">
        <f t="shared" si="204"/>
        <v>31.584</v>
      </c>
      <c r="L133" s="451"/>
      <c r="M133" s="221">
        <f t="shared" si="205"/>
        <v>0.62006079027355621</v>
      </c>
      <c r="N133" s="176">
        <f t="shared" si="206"/>
        <v>5.0626723404255323</v>
      </c>
      <c r="O133" s="176">
        <f t="shared" si="173"/>
        <v>0.7360000000000001</v>
      </c>
      <c r="P133" s="221">
        <f t="shared" si="207"/>
        <v>0.31641702127659577</v>
      </c>
      <c r="Q133" s="221">
        <f t="shared" si="208"/>
        <v>16</v>
      </c>
      <c r="R133" s="221"/>
      <c r="S133" s="176">
        <f t="shared" si="209"/>
        <v>166.10618426534282</v>
      </c>
      <c r="T133" s="176">
        <f t="shared" si="210"/>
        <v>16</v>
      </c>
      <c r="U133" s="221">
        <f t="shared" si="211"/>
        <v>0.21981118373275238</v>
      </c>
      <c r="V133" s="221">
        <f t="shared" si="212"/>
        <v>0.54952795933188092</v>
      </c>
      <c r="W133" s="221">
        <f t="shared" si="213"/>
        <v>0.3367205633161035</v>
      </c>
      <c r="X133" s="201">
        <f t="shared" si="214"/>
        <v>350</v>
      </c>
      <c r="Y133" s="451">
        <f t="shared" si="215"/>
        <v>350</v>
      </c>
      <c r="AA133" s="221">
        <f t="shared" si="216"/>
        <v>0.70864090316977857</v>
      </c>
      <c r="AB133" s="177">
        <f t="shared" si="217"/>
        <v>1.0855405992184108</v>
      </c>
      <c r="AC133" s="177">
        <f t="shared" si="218"/>
        <v>0.16154427883809541</v>
      </c>
      <c r="AD133" s="177"/>
      <c r="AE133" s="177">
        <f t="shared" si="219"/>
        <v>0.4595588235294118</v>
      </c>
      <c r="AF133" s="555">
        <f t="shared" si="220"/>
        <v>556.08888888888896</v>
      </c>
      <c r="AG133" s="538">
        <f t="shared" si="221"/>
        <v>2.8952205882352939E-2</v>
      </c>
      <c r="AI133" s="177">
        <f t="shared" si="222"/>
        <v>0.37814585243565174</v>
      </c>
      <c r="AJ133" s="177">
        <f t="shared" si="223"/>
        <v>0.37814585243565174</v>
      </c>
      <c r="AK133" s="177">
        <f t="shared" si="224"/>
        <v>1.2520972349571011</v>
      </c>
      <c r="AM133" s="555">
        <f t="shared" si="225"/>
        <v>46.000000000000007</v>
      </c>
      <c r="AN133" s="469">
        <f t="shared" si="226"/>
        <v>350</v>
      </c>
      <c r="AP133" s="469">
        <f t="shared" si="227"/>
        <v>46.000000000000007</v>
      </c>
      <c r="AQ133" s="469">
        <f t="shared" si="228"/>
        <v>350</v>
      </c>
      <c r="AS133" s="5">
        <f t="shared" si="175"/>
        <v>2.8571428571428572</v>
      </c>
      <c r="AT133" s="5">
        <f t="shared" si="229"/>
        <v>0.94536463108912938</v>
      </c>
      <c r="AU133" s="5">
        <f t="shared" si="230"/>
        <v>1.9117782260537277</v>
      </c>
      <c r="AV133" s="5"/>
      <c r="AW133" s="177">
        <f t="shared" si="231"/>
        <v>0.33087762088119527</v>
      </c>
      <c r="AX133" s="177">
        <f t="shared" ref="AX133:AX196" si="259">0.5*L*AJ133^2*AN133*1000</f>
        <v>0.75071999999999994</v>
      </c>
      <c r="AY133" s="177">
        <f t="shared" ref="AY133:AY196" si="260">AJ133*Nps/2*(1-AW133)</f>
        <v>0.15181551146139105</v>
      </c>
      <c r="AZ133" s="177">
        <f t="shared" si="178"/>
        <v>4.944949253034129</v>
      </c>
      <c r="BA133" s="469">
        <f t="shared" si="232"/>
        <v>8.6504050333139713</v>
      </c>
      <c r="BB133" s="469">
        <f t="shared" si="233"/>
        <v>0.38847180166666673</v>
      </c>
      <c r="BC133" s="5">
        <f t="shared" si="258"/>
        <v>8.1427591109695815E-2</v>
      </c>
      <c r="BD133" s="469">
        <f t="shared" si="235"/>
        <v>13.232859021995777</v>
      </c>
      <c r="BF133" s="177">
        <f t="shared" si="179"/>
        <v>0.12558345041810345</v>
      </c>
      <c r="BG133" s="177">
        <f t="shared" ref="BG133:BG196" si="261">AJ133*Nps*SQRT((1-AW133)/3)</f>
        <v>0.21430521411206432</v>
      </c>
      <c r="BI133" s="538">
        <f t="shared" si="236"/>
        <v>5.5199210566206861E-3</v>
      </c>
      <c r="BJ133" s="538">
        <f t="shared" si="237"/>
        <v>2.0900877555823344E-2</v>
      </c>
      <c r="BK133" s="538">
        <f t="shared" si="238"/>
        <v>4.3749999999999995E-3</v>
      </c>
      <c r="BL133" s="538">
        <f t="shared" si="239"/>
        <v>1.7457108480000001E-2</v>
      </c>
      <c r="BM133">
        <f t="shared" si="240"/>
        <v>3.48E-3</v>
      </c>
      <c r="BN133">
        <f t="shared" si="241"/>
        <v>6.1250000000000006E-6</v>
      </c>
      <c r="BO133" s="538">
        <f t="shared" si="242"/>
        <v>5.2537727192755207E-2</v>
      </c>
      <c r="BP133" s="469">
        <f t="shared" si="243"/>
        <v>51.732907092444023</v>
      </c>
      <c r="BQ133" s="538">
        <f t="shared" si="244"/>
        <v>3.511600887192598E-2</v>
      </c>
      <c r="BT133" s="469">
        <f t="shared" si="245"/>
        <v>35.116008871925978</v>
      </c>
      <c r="BU133" s="538">
        <f t="shared" si="246"/>
        <v>1.577120301891625E-3</v>
      </c>
      <c r="BV133" s="538">
        <f t="shared" si="247"/>
        <v>1.377801743868532E-3</v>
      </c>
      <c r="BW133" s="538">
        <f t="shared" si="248"/>
        <v>0</v>
      </c>
      <c r="BX133" s="538"/>
      <c r="BY133" s="538">
        <f t="shared" si="249"/>
        <v>2.5024000000000005E-3</v>
      </c>
      <c r="BZ133" s="469">
        <f t="shared" si="250"/>
        <v>5.4573220457601579</v>
      </c>
      <c r="CA133" s="177">
        <f t="shared" si="251"/>
        <v>9.2306238010130159E-2</v>
      </c>
      <c r="CB133" s="5">
        <f t="shared" si="252"/>
        <v>0.7360000000000001</v>
      </c>
      <c r="CC133" s="177">
        <f t="shared" si="253"/>
        <v>0.88856025250771897</v>
      </c>
      <c r="CD133" s="5">
        <f t="shared" si="254"/>
        <v>88.856025250771893</v>
      </c>
      <c r="CG133" s="571">
        <f t="shared" si="255"/>
        <v>-50</v>
      </c>
      <c r="CH133">
        <f t="shared" si="256"/>
        <v>-50</v>
      </c>
    </row>
    <row r="134" spans="5:86" x14ac:dyDescent="0.25">
      <c r="E134" s="174">
        <v>24</v>
      </c>
      <c r="F134" s="221">
        <f t="shared" si="257"/>
        <v>4.8000000000000001E-2</v>
      </c>
      <c r="G134" s="221"/>
      <c r="H134" s="221">
        <f t="shared" si="201"/>
        <v>0.76800000000000002</v>
      </c>
      <c r="I134" s="551">
        <f t="shared" si="202"/>
        <v>12</v>
      </c>
      <c r="J134" s="451">
        <f t="shared" si="203"/>
        <v>19.584</v>
      </c>
      <c r="K134" s="451">
        <f t="shared" si="204"/>
        <v>31.584</v>
      </c>
      <c r="L134" s="451"/>
      <c r="M134" s="221">
        <f t="shared" si="205"/>
        <v>0.62006079027355621</v>
      </c>
      <c r="N134" s="176">
        <f t="shared" si="206"/>
        <v>5.0626723404255323</v>
      </c>
      <c r="O134" s="176">
        <f t="shared" ref="O134:O197" si="262">T134*F134</f>
        <v>0.76800000000000002</v>
      </c>
      <c r="P134" s="221">
        <f t="shared" si="207"/>
        <v>0.31641702127659577</v>
      </c>
      <c r="Q134" s="221">
        <f t="shared" si="208"/>
        <v>16</v>
      </c>
      <c r="R134" s="221"/>
      <c r="S134" s="176">
        <f t="shared" si="209"/>
        <v>158.77011438619144</v>
      </c>
      <c r="T134" s="176">
        <f t="shared" si="210"/>
        <v>16</v>
      </c>
      <c r="U134" s="221">
        <f t="shared" si="211"/>
        <v>0.22936819172113287</v>
      </c>
      <c r="V134" s="221">
        <f t="shared" si="212"/>
        <v>0.57342047930283224</v>
      </c>
      <c r="W134" s="221">
        <f t="shared" si="213"/>
        <v>0.35136058780810797</v>
      </c>
      <c r="X134" s="201">
        <f t="shared" si="214"/>
        <v>350</v>
      </c>
      <c r="Y134" s="451">
        <f t="shared" si="215"/>
        <v>350</v>
      </c>
      <c r="AA134" s="221">
        <f t="shared" si="216"/>
        <v>0.70864090316977857</v>
      </c>
      <c r="AB134" s="177">
        <f t="shared" si="217"/>
        <v>1.0855405992184108</v>
      </c>
      <c r="AC134" s="177">
        <f t="shared" si="218"/>
        <v>0.16154427883809541</v>
      </c>
      <c r="AD134" s="177"/>
      <c r="AE134" s="177">
        <f t="shared" si="219"/>
        <v>0.4595588235294118</v>
      </c>
      <c r="AF134" s="555">
        <f t="shared" si="220"/>
        <v>580.26666666666677</v>
      </c>
      <c r="AG134" s="538">
        <f t="shared" si="221"/>
        <v>2.8952205882352939E-2</v>
      </c>
      <c r="AI134" s="177">
        <f t="shared" si="222"/>
        <v>0.38627895175821908</v>
      </c>
      <c r="AJ134" s="177">
        <f t="shared" si="223"/>
        <v>0.38627895175821908</v>
      </c>
      <c r="AK134" s="177">
        <f t="shared" si="224"/>
        <v>1.2575193011721459</v>
      </c>
      <c r="AM134" s="555">
        <f t="shared" si="225"/>
        <v>48</v>
      </c>
      <c r="AN134" s="469">
        <f t="shared" si="226"/>
        <v>350</v>
      </c>
      <c r="AP134" s="469">
        <f t="shared" si="227"/>
        <v>48</v>
      </c>
      <c r="AQ134" s="469">
        <f t="shared" si="228"/>
        <v>350</v>
      </c>
      <c r="AS134" s="5">
        <f t="shared" ref="AS134:AS197" si="263">1/AN134*1000</f>
        <v>2.8571428571428572</v>
      </c>
      <c r="AT134" s="5">
        <f t="shared" si="229"/>
        <v>0.96569737939554767</v>
      </c>
      <c r="AU134" s="5">
        <f t="shared" si="230"/>
        <v>1.8914454777473095</v>
      </c>
      <c r="AV134" s="5"/>
      <c r="AW134" s="177">
        <f t="shared" si="231"/>
        <v>0.33799408278844167</v>
      </c>
      <c r="AX134" s="177">
        <f t="shared" si="259"/>
        <v>0.78335999999999995</v>
      </c>
      <c r="AY134" s="177">
        <f t="shared" si="260"/>
        <v>0.15343137105493146</v>
      </c>
      <c r="AZ134" s="177">
        <f t="shared" ref="AZ134:AZ197" si="264">AX134/AY134</f>
        <v>5.1056051615385849</v>
      </c>
      <c r="BA134" s="469">
        <f t="shared" si="232"/>
        <v>8.6504050333139713</v>
      </c>
      <c r="BB134" s="469">
        <f t="shared" si="233"/>
        <v>0.41672543999999995</v>
      </c>
      <c r="BC134" s="5">
        <f t="shared" si="258"/>
        <v>8.4064243455435977E-2</v>
      </c>
      <c r="BD134" s="469">
        <f t="shared" si="235"/>
        <v>13.66361228620309</v>
      </c>
      <c r="BF134" s="177">
        <f t="shared" ref="BF134:BF197" si="265">AJ134*SQRT(AW134/3)</f>
        <v>0.12965670048446279</v>
      </c>
      <c r="BG134" s="177">
        <f t="shared" si="261"/>
        <v>0.21774720972343187</v>
      </c>
      <c r="BI134" s="538">
        <f t="shared" si="236"/>
        <v>5.8838009931811916E-3</v>
      </c>
      <c r="BJ134" s="538">
        <f t="shared" si="237"/>
        <v>2.1350410221580282E-2</v>
      </c>
      <c r="BK134" s="538">
        <f t="shared" si="238"/>
        <v>4.3749999999999995E-3</v>
      </c>
      <c r="BL134" s="538">
        <f t="shared" si="239"/>
        <v>1.7457108480000001E-2</v>
      </c>
      <c r="BM134">
        <f t="shared" si="240"/>
        <v>3.48E-3</v>
      </c>
      <c r="BN134">
        <f t="shared" si="241"/>
        <v>6.1250000000000006E-6</v>
      </c>
      <c r="BO134" s="538">
        <f t="shared" si="242"/>
        <v>5.3404731938174931E-2</v>
      </c>
      <c r="BP134" s="469">
        <f t="shared" si="243"/>
        <v>52.546319694761465</v>
      </c>
      <c r="BQ134" s="538">
        <f t="shared" si="244"/>
        <v>3.644808968477397E-2</v>
      </c>
      <c r="BT134" s="469">
        <f t="shared" si="245"/>
        <v>36.448089684773969</v>
      </c>
      <c r="BU134" s="538">
        <f t="shared" si="246"/>
        <v>1.6810859980517694E-3</v>
      </c>
      <c r="BV134" s="538">
        <f t="shared" si="247"/>
        <v>1.4224154202702067E-3</v>
      </c>
      <c r="BW134" s="538">
        <f t="shared" si="248"/>
        <v>0</v>
      </c>
      <c r="BX134" s="538"/>
      <c r="BY134" s="538">
        <f t="shared" si="249"/>
        <v>2.6111999999999997E-3</v>
      </c>
      <c r="BZ134" s="469">
        <f t="shared" si="250"/>
        <v>5.7147014183219751</v>
      </c>
      <c r="CA134" s="177">
        <f t="shared" si="251"/>
        <v>9.470911079785739E-2</v>
      </c>
      <c r="CB134" s="5">
        <f t="shared" si="252"/>
        <v>0.76800000000000002</v>
      </c>
      <c r="CC134" s="177">
        <f t="shared" si="253"/>
        <v>0.89021895142585461</v>
      </c>
      <c r="CD134" s="5">
        <f t="shared" si="254"/>
        <v>89.021895142585464</v>
      </c>
      <c r="CG134" s="571">
        <f t="shared" si="255"/>
        <v>-50</v>
      </c>
      <c r="CH134">
        <f t="shared" si="256"/>
        <v>-50</v>
      </c>
    </row>
    <row r="135" spans="5:86" x14ac:dyDescent="0.25">
      <c r="E135" s="174">
        <v>25</v>
      </c>
      <c r="F135" s="221">
        <f t="shared" si="257"/>
        <v>0.05</v>
      </c>
      <c r="G135" s="221"/>
      <c r="H135" s="221">
        <f t="shared" si="201"/>
        <v>0.8</v>
      </c>
      <c r="I135" s="551">
        <f t="shared" si="202"/>
        <v>12</v>
      </c>
      <c r="J135" s="451">
        <f t="shared" si="203"/>
        <v>19.584</v>
      </c>
      <c r="K135" s="451">
        <f t="shared" si="204"/>
        <v>31.584</v>
      </c>
      <c r="L135" s="451"/>
      <c r="M135" s="221">
        <f t="shared" si="205"/>
        <v>0.62006079027355621</v>
      </c>
      <c r="N135" s="176">
        <f t="shared" si="206"/>
        <v>5.0626723404255323</v>
      </c>
      <c r="O135" s="176">
        <f t="shared" si="262"/>
        <v>0.8</v>
      </c>
      <c r="P135" s="221">
        <f t="shared" si="207"/>
        <v>0.31641702127659577</v>
      </c>
      <c r="Q135" s="221">
        <f t="shared" si="208"/>
        <v>16</v>
      </c>
      <c r="R135" s="221"/>
      <c r="S135" s="176">
        <f t="shared" si="209"/>
        <v>152.0210055066222</v>
      </c>
      <c r="T135" s="176">
        <f t="shared" si="210"/>
        <v>16</v>
      </c>
      <c r="U135" s="221">
        <f t="shared" si="211"/>
        <v>0.23892519970951343</v>
      </c>
      <c r="V135" s="221">
        <f t="shared" si="212"/>
        <v>0.59731299927378367</v>
      </c>
      <c r="W135" s="221">
        <f t="shared" si="213"/>
        <v>0.36600061230011249</v>
      </c>
      <c r="X135" s="201">
        <f t="shared" si="214"/>
        <v>350</v>
      </c>
      <c r="Y135" s="451">
        <f t="shared" si="215"/>
        <v>350</v>
      </c>
      <c r="AA135" s="221">
        <f t="shared" si="216"/>
        <v>0.70864090316977857</v>
      </c>
      <c r="AB135" s="177">
        <f t="shared" si="217"/>
        <v>1.0855405992184108</v>
      </c>
      <c r="AC135" s="177">
        <f t="shared" si="218"/>
        <v>0.16154427883809541</v>
      </c>
      <c r="AD135" s="177"/>
      <c r="AE135" s="177">
        <f t="shared" si="219"/>
        <v>0.4595588235294118</v>
      </c>
      <c r="AF135" s="555">
        <f t="shared" si="220"/>
        <v>604.44444444444446</v>
      </c>
      <c r="AG135" s="538">
        <f t="shared" si="221"/>
        <v>2.8952205882352939E-2</v>
      </c>
      <c r="AI135" s="177">
        <f t="shared" si="222"/>
        <v>0.39424430424366491</v>
      </c>
      <c r="AJ135" s="177">
        <f t="shared" si="223"/>
        <v>0.39424430424366491</v>
      </c>
      <c r="AK135" s="177">
        <f t="shared" si="224"/>
        <v>1.2628295361624433</v>
      </c>
      <c r="AM135" s="555">
        <f t="shared" si="225"/>
        <v>50</v>
      </c>
      <c r="AN135" s="469">
        <f t="shared" si="226"/>
        <v>350</v>
      </c>
      <c r="AP135" s="469">
        <f t="shared" si="227"/>
        <v>50</v>
      </c>
      <c r="AQ135" s="469">
        <f t="shared" si="228"/>
        <v>350</v>
      </c>
      <c r="AS135" s="5">
        <f t="shared" si="263"/>
        <v>2.8571428571428572</v>
      </c>
      <c r="AT135" s="5">
        <f t="shared" si="229"/>
        <v>0.9856107606091622</v>
      </c>
      <c r="AU135" s="5">
        <f t="shared" si="230"/>
        <v>1.871532096533695</v>
      </c>
      <c r="AV135" s="5"/>
      <c r="AW135" s="177">
        <f t="shared" si="231"/>
        <v>0.34496376621320674</v>
      </c>
      <c r="AX135" s="177">
        <f t="shared" si="259"/>
        <v>0.81599999999999995</v>
      </c>
      <c r="AY135" s="177">
        <f t="shared" si="260"/>
        <v>0.15494658254619895</v>
      </c>
      <c r="AZ135" s="177">
        <f t="shared" si="264"/>
        <v>5.26633105803867</v>
      </c>
      <c r="BA135" s="469">
        <f t="shared" si="232"/>
        <v>8.6504050333139713</v>
      </c>
      <c r="BB135" s="469">
        <f t="shared" si="233"/>
        <v>0.44592604166666672</v>
      </c>
      <c r="BC135" s="5">
        <f t="shared" si="258"/>
        <v>8.6645004469152548E-2</v>
      </c>
      <c r="BD135" s="469">
        <f t="shared" si="235"/>
        <v>14.085422937286628</v>
      </c>
      <c r="BF135" s="177">
        <f t="shared" si="265"/>
        <v>0.13368772740624377</v>
      </c>
      <c r="BG135" s="177">
        <f t="shared" si="261"/>
        <v>0.22106434833479555</v>
      </c>
      <c r="BI135" s="538">
        <f t="shared" si="236"/>
        <v>6.2553429606661487E-3</v>
      </c>
      <c r="BJ135" s="538">
        <f t="shared" si="237"/>
        <v>2.1790671184155844E-2</v>
      </c>
      <c r="BK135" s="538">
        <f t="shared" si="238"/>
        <v>4.3749999999999995E-3</v>
      </c>
      <c r="BL135" s="538">
        <f t="shared" si="239"/>
        <v>1.7457108480000001E-2</v>
      </c>
      <c r="BM135">
        <f t="shared" si="240"/>
        <v>3.48E-3</v>
      </c>
      <c r="BN135">
        <f t="shared" si="241"/>
        <v>6.1250000000000006E-6</v>
      </c>
      <c r="BO135" s="538">
        <f t="shared" si="242"/>
        <v>5.4271354079095904E-2</v>
      </c>
      <c r="BP135" s="469">
        <f t="shared" si="243"/>
        <v>53.358122624821995</v>
      </c>
      <c r="BQ135" s="538">
        <f t="shared" si="244"/>
        <v>3.7768128411990759E-2</v>
      </c>
      <c r="BT135" s="469">
        <f t="shared" si="245"/>
        <v>37.768128411990759</v>
      </c>
      <c r="BU135" s="538">
        <f t="shared" si="246"/>
        <v>1.7872408459046142E-3</v>
      </c>
      <c r="BV135" s="538">
        <f t="shared" si="247"/>
        <v>1.4660833831406346E-3</v>
      </c>
      <c r="BW135" s="538">
        <f t="shared" si="248"/>
        <v>0</v>
      </c>
      <c r="BX135" s="538"/>
      <c r="BY135" s="538">
        <f t="shared" si="249"/>
        <v>2.7199999999999998E-3</v>
      </c>
      <c r="BZ135" s="469">
        <f t="shared" si="250"/>
        <v>5.9733242290452484</v>
      </c>
      <c r="CA135" s="177">
        <f t="shared" si="251"/>
        <v>9.709957526585801E-2</v>
      </c>
      <c r="CB135" s="5">
        <f t="shared" si="252"/>
        <v>0.8</v>
      </c>
      <c r="CC135" s="177">
        <f t="shared" si="253"/>
        <v>0.89176276754218475</v>
      </c>
      <c r="CD135" s="5">
        <f t="shared" si="254"/>
        <v>89.176276754218478</v>
      </c>
      <c r="CG135" s="571">
        <f t="shared" si="255"/>
        <v>-50</v>
      </c>
      <c r="CH135">
        <f t="shared" si="256"/>
        <v>-50</v>
      </c>
    </row>
    <row r="136" spans="5:86" x14ac:dyDescent="0.25">
      <c r="E136" s="174">
        <v>26</v>
      </c>
      <c r="F136" s="221">
        <f t="shared" si="257"/>
        <v>5.2000000000000005E-2</v>
      </c>
      <c r="G136" s="221"/>
      <c r="H136" s="221">
        <f t="shared" si="201"/>
        <v>0.83200000000000007</v>
      </c>
      <c r="I136" s="551">
        <f t="shared" si="202"/>
        <v>12</v>
      </c>
      <c r="J136" s="451">
        <f t="shared" si="203"/>
        <v>19.584</v>
      </c>
      <c r="K136" s="451">
        <f t="shared" si="204"/>
        <v>31.584</v>
      </c>
      <c r="L136" s="451"/>
      <c r="M136" s="221">
        <f t="shared" si="205"/>
        <v>0.62006079027355621</v>
      </c>
      <c r="N136" s="176">
        <f t="shared" si="206"/>
        <v>5.0626723404255323</v>
      </c>
      <c r="O136" s="176">
        <f t="shared" si="262"/>
        <v>0.83200000000000007</v>
      </c>
      <c r="P136" s="221">
        <f t="shared" si="207"/>
        <v>0.31641702127659577</v>
      </c>
      <c r="Q136" s="221">
        <f t="shared" si="208"/>
        <v>16</v>
      </c>
      <c r="R136" s="221"/>
      <c r="S136" s="176">
        <f t="shared" si="209"/>
        <v>145.79113190679803</v>
      </c>
      <c r="T136" s="176">
        <f t="shared" si="210"/>
        <v>16</v>
      </c>
      <c r="U136" s="221">
        <f t="shared" si="211"/>
        <v>0.24848220769789398</v>
      </c>
      <c r="V136" s="221">
        <f t="shared" si="212"/>
        <v>0.62120551924473488</v>
      </c>
      <c r="W136" s="221">
        <f t="shared" si="213"/>
        <v>0.38064063679211702</v>
      </c>
      <c r="X136" s="201">
        <f t="shared" si="214"/>
        <v>350</v>
      </c>
      <c r="Y136" s="451">
        <f t="shared" si="215"/>
        <v>350</v>
      </c>
      <c r="AA136" s="221">
        <f t="shared" si="216"/>
        <v>0.70864090316977857</v>
      </c>
      <c r="AB136" s="177">
        <f t="shared" si="217"/>
        <v>1.0855405992184108</v>
      </c>
      <c r="AC136" s="177">
        <f t="shared" si="218"/>
        <v>0.16154427883809541</v>
      </c>
      <c r="AD136" s="177"/>
      <c r="AE136" s="177">
        <f t="shared" si="219"/>
        <v>0.4595588235294118</v>
      </c>
      <c r="AF136" s="555">
        <f t="shared" si="220"/>
        <v>628.62222222222238</v>
      </c>
      <c r="AG136" s="538">
        <f t="shared" si="221"/>
        <v>2.8952205882352939E-2</v>
      </c>
      <c r="AI136" s="177">
        <f t="shared" si="222"/>
        <v>0.40205188009225162</v>
      </c>
      <c r="AJ136" s="177">
        <f t="shared" si="223"/>
        <v>0.40205188009225162</v>
      </c>
      <c r="AK136" s="177">
        <f t="shared" si="224"/>
        <v>1.2680345867281677</v>
      </c>
      <c r="AM136" s="555">
        <f t="shared" si="225"/>
        <v>52.000000000000007</v>
      </c>
      <c r="AN136" s="469">
        <f t="shared" si="226"/>
        <v>350</v>
      </c>
      <c r="AP136" s="469">
        <f t="shared" si="227"/>
        <v>52.000000000000007</v>
      </c>
      <c r="AQ136" s="469">
        <f t="shared" si="228"/>
        <v>350</v>
      </c>
      <c r="AS136" s="5">
        <f t="shared" si="263"/>
        <v>2.8571428571428572</v>
      </c>
      <c r="AT136" s="5">
        <f t="shared" si="229"/>
        <v>1.0051297002306292</v>
      </c>
      <c r="AU136" s="5">
        <f t="shared" si="230"/>
        <v>1.852013156912228</v>
      </c>
      <c r="AV136" s="5"/>
      <c r="AW136" s="177">
        <f t="shared" si="231"/>
        <v>0.35179539508072022</v>
      </c>
      <c r="AX136" s="177">
        <f t="shared" si="259"/>
        <v>0.84864000000000006</v>
      </c>
      <c r="AY136" s="177">
        <f t="shared" si="260"/>
        <v>0.15636712805535097</v>
      </c>
      <c r="AZ136" s="177">
        <f t="shared" si="264"/>
        <v>5.4272276440326879</v>
      </c>
      <c r="BA136" s="469">
        <f t="shared" si="232"/>
        <v>8.6504050333139713</v>
      </c>
      <c r="BB136" s="469">
        <f t="shared" si="233"/>
        <v>0.47607360666666676</v>
      </c>
      <c r="BC136" s="5">
        <f t="shared" si="258"/>
        <v>8.9171003851329506E-2</v>
      </c>
      <c r="BD136" s="469">
        <f t="shared" si="235"/>
        <v>14.498471727323832</v>
      </c>
      <c r="BF136" s="177">
        <f t="shared" si="265"/>
        <v>0.13767863295884378</v>
      </c>
      <c r="BG136" s="177">
        <f t="shared" si="261"/>
        <v>0.22426359101607149</v>
      </c>
      <c r="BI136" s="538">
        <f t="shared" si="236"/>
        <v>6.6343920906956075E-3</v>
      </c>
      <c r="BJ136" s="538">
        <f t="shared" si="237"/>
        <v>2.2222211516458933E-2</v>
      </c>
      <c r="BK136" s="538">
        <f t="shared" si="238"/>
        <v>4.3749999999999995E-3</v>
      </c>
      <c r="BL136" s="538">
        <f t="shared" si="239"/>
        <v>1.7457108480000001E-2</v>
      </c>
      <c r="BM136">
        <f t="shared" si="240"/>
        <v>3.48E-3</v>
      </c>
      <c r="BN136">
        <f t="shared" si="241"/>
        <v>6.1250000000000006E-6</v>
      </c>
      <c r="BO136" s="538">
        <f t="shared" si="242"/>
        <v>5.5137971396383691E-2</v>
      </c>
      <c r="BP136" s="469">
        <f t="shared" si="243"/>
        <v>54.168712087154539</v>
      </c>
      <c r="BQ136" s="538">
        <f t="shared" si="244"/>
        <v>3.9076368453571889E-2</v>
      </c>
      <c r="BT136" s="469">
        <f t="shared" si="245"/>
        <v>39.076368453571888</v>
      </c>
      <c r="BU136" s="538">
        <f t="shared" si="246"/>
        <v>1.8955405973416024E-3</v>
      </c>
      <c r="BV136" s="538">
        <f t="shared" si="247"/>
        <v>1.5088247476627132E-3</v>
      </c>
      <c r="BW136" s="538">
        <f t="shared" si="248"/>
        <v>0</v>
      </c>
      <c r="BX136" s="538"/>
      <c r="BY136" s="538">
        <f t="shared" si="249"/>
        <v>2.8287999999999998E-3</v>
      </c>
      <c r="BZ136" s="469">
        <f t="shared" si="250"/>
        <v>6.2331653450043154</v>
      </c>
      <c r="CA136" s="177">
        <f t="shared" si="251"/>
        <v>9.9478245885730759E-2</v>
      </c>
      <c r="CB136" s="5">
        <f t="shared" si="252"/>
        <v>0.83200000000000007</v>
      </c>
      <c r="CC136" s="177">
        <f t="shared" si="253"/>
        <v>0.89320389786329568</v>
      </c>
      <c r="CD136" s="5">
        <f t="shared" si="254"/>
        <v>89.320389786329571</v>
      </c>
      <c r="CG136" s="571">
        <f t="shared" si="255"/>
        <v>-50</v>
      </c>
      <c r="CH136">
        <f t="shared" si="256"/>
        <v>-50</v>
      </c>
    </row>
    <row r="137" spans="5:86" x14ac:dyDescent="0.25">
      <c r="E137" s="174">
        <v>27</v>
      </c>
      <c r="F137" s="221">
        <f t="shared" si="257"/>
        <v>5.4000000000000006E-2</v>
      </c>
      <c r="G137" s="221"/>
      <c r="H137" s="221">
        <f t="shared" si="201"/>
        <v>0.8640000000000001</v>
      </c>
      <c r="I137" s="551">
        <f t="shared" si="202"/>
        <v>12</v>
      </c>
      <c r="J137" s="451">
        <f t="shared" si="203"/>
        <v>19.584</v>
      </c>
      <c r="K137" s="451">
        <f t="shared" si="204"/>
        <v>31.584</v>
      </c>
      <c r="L137" s="451"/>
      <c r="M137" s="221">
        <f t="shared" si="205"/>
        <v>0.62006079027355621</v>
      </c>
      <c r="N137" s="176">
        <f t="shared" si="206"/>
        <v>5.0626723404255323</v>
      </c>
      <c r="O137" s="176">
        <f t="shared" si="262"/>
        <v>0.8640000000000001</v>
      </c>
      <c r="P137" s="221">
        <f t="shared" si="207"/>
        <v>0.31641702127659577</v>
      </c>
      <c r="Q137" s="221">
        <f t="shared" si="208"/>
        <v>16</v>
      </c>
      <c r="R137" s="221"/>
      <c r="S137" s="176">
        <f t="shared" si="209"/>
        <v>140.02280131200231</v>
      </c>
      <c r="T137" s="176">
        <f t="shared" si="210"/>
        <v>16</v>
      </c>
      <c r="U137" s="221">
        <f t="shared" si="211"/>
        <v>0.25803921568627453</v>
      </c>
      <c r="V137" s="221">
        <f t="shared" si="212"/>
        <v>0.64509803921568643</v>
      </c>
      <c r="W137" s="221">
        <f t="shared" si="213"/>
        <v>0.39528066128412159</v>
      </c>
      <c r="X137" s="201">
        <f t="shared" si="214"/>
        <v>350</v>
      </c>
      <c r="Y137" s="451">
        <f t="shared" si="215"/>
        <v>350</v>
      </c>
      <c r="AA137" s="221">
        <f t="shared" si="216"/>
        <v>0.70864090316977857</v>
      </c>
      <c r="AB137" s="177">
        <f t="shared" si="217"/>
        <v>1.0855405992184108</v>
      </c>
      <c r="AC137" s="177">
        <f t="shared" si="218"/>
        <v>0.16154427883809541</v>
      </c>
      <c r="AD137" s="177"/>
      <c r="AE137" s="177">
        <f t="shared" si="219"/>
        <v>0.4595588235294118</v>
      </c>
      <c r="AF137" s="555">
        <f t="shared" si="220"/>
        <v>652.80000000000007</v>
      </c>
      <c r="AG137" s="538">
        <f t="shared" si="221"/>
        <v>2.8952205882352939E-2</v>
      </c>
      <c r="AI137" s="177">
        <f t="shared" si="222"/>
        <v>0.40971069932680199</v>
      </c>
      <c r="AJ137" s="177">
        <f t="shared" si="223"/>
        <v>0.40971069932680199</v>
      </c>
      <c r="AK137" s="177">
        <f t="shared" si="224"/>
        <v>1.273140466217868</v>
      </c>
      <c r="AM137" s="555">
        <f t="shared" si="225"/>
        <v>54.000000000000007</v>
      </c>
      <c r="AN137" s="469">
        <f t="shared" si="226"/>
        <v>350</v>
      </c>
      <c r="AP137" s="469">
        <f t="shared" si="227"/>
        <v>54.000000000000007</v>
      </c>
      <c r="AQ137" s="469">
        <f t="shared" si="228"/>
        <v>350</v>
      </c>
      <c r="AS137" s="5">
        <f t="shared" si="263"/>
        <v>2.8571428571428572</v>
      </c>
      <c r="AT137" s="5">
        <f t="shared" si="229"/>
        <v>1.0242767483170048</v>
      </c>
      <c r="AU137" s="5">
        <f t="shared" si="230"/>
        <v>1.8328661088258524</v>
      </c>
      <c r="AV137" s="5"/>
      <c r="AW137" s="177">
        <f t="shared" si="231"/>
        <v>0.35849686191095165</v>
      </c>
      <c r="AX137" s="177">
        <f t="shared" si="259"/>
        <v>0.88128000000000006</v>
      </c>
      <c r="AY137" s="177">
        <f t="shared" si="260"/>
        <v>0.15769841959608119</v>
      </c>
      <c r="AZ137" s="177">
        <f t="shared" si="264"/>
        <v>5.5883882809812251</v>
      </c>
      <c r="BA137" s="469">
        <f t="shared" si="232"/>
        <v>8.6504050333139713</v>
      </c>
      <c r="BB137" s="469">
        <f t="shared" si="233"/>
        <v>0.50716813500000013</v>
      </c>
      <c r="BC137" s="5">
        <f t="shared" si="258"/>
        <v>9.1643305441292622E-2</v>
      </c>
      <c r="BD137" s="469">
        <f t="shared" si="235"/>
        <v>14.90292887060682</v>
      </c>
      <c r="BF137" s="177">
        <f t="shared" si="265"/>
        <v>0.14163133777183715</v>
      </c>
      <c r="BG137" s="177">
        <f t="shared" si="261"/>
        <v>0.22735123448170125</v>
      </c>
      <c r="BI137" s="538">
        <f t="shared" si="236"/>
        <v>7.0208025436640778E-3</v>
      </c>
      <c r="BJ137" s="538">
        <f t="shared" si="237"/>
        <v>2.2645529773190998E-2</v>
      </c>
      <c r="BK137" s="538">
        <f t="shared" si="238"/>
        <v>4.3749999999999995E-3</v>
      </c>
      <c r="BL137" s="538">
        <f t="shared" si="239"/>
        <v>1.7457108480000001E-2</v>
      </c>
      <c r="BM137">
        <f t="shared" si="240"/>
        <v>3.48E-3</v>
      </c>
      <c r="BN137">
        <f t="shared" si="241"/>
        <v>6.1250000000000006E-6</v>
      </c>
      <c r="BO137" s="538">
        <f t="shared" si="242"/>
        <v>5.6004919444474568E-2</v>
      </c>
      <c r="BP137" s="469">
        <f t="shared" si="243"/>
        <v>54.978440796855068</v>
      </c>
      <c r="BQ137" s="538">
        <f t="shared" si="244"/>
        <v>4.0373039019375043E-2</v>
      </c>
      <c r="BT137" s="469">
        <f t="shared" si="245"/>
        <v>40.373039019375042</v>
      </c>
      <c r="BU137" s="538">
        <f t="shared" si="246"/>
        <v>2.0059435839040224E-3</v>
      </c>
      <c r="BV137" s="538">
        <f t="shared" si="247"/>
        <v>1.550657514610605E-3</v>
      </c>
      <c r="BW137" s="538">
        <f t="shared" si="248"/>
        <v>0</v>
      </c>
      <c r="BX137" s="538"/>
      <c r="BY137" s="538">
        <f t="shared" si="249"/>
        <v>2.9376000000000003E-3</v>
      </c>
      <c r="BZ137" s="469">
        <f t="shared" si="250"/>
        <v>6.4942010985146279</v>
      </c>
      <c r="CA137" s="177">
        <f t="shared" si="251"/>
        <v>0.10184568091474473</v>
      </c>
      <c r="CB137" s="5">
        <f t="shared" si="252"/>
        <v>0.8640000000000001</v>
      </c>
      <c r="CC137" s="177">
        <f t="shared" si="253"/>
        <v>0.89455284324687612</v>
      </c>
      <c r="CD137" s="5">
        <f t="shared" si="254"/>
        <v>89.455284324687611</v>
      </c>
      <c r="CG137" s="571">
        <f t="shared" si="255"/>
        <v>-50</v>
      </c>
      <c r="CH137">
        <f t="shared" si="256"/>
        <v>-50</v>
      </c>
    </row>
    <row r="138" spans="5:86" x14ac:dyDescent="0.25">
      <c r="E138" s="174">
        <v>28</v>
      </c>
      <c r="F138" s="221">
        <f t="shared" si="257"/>
        <v>5.6000000000000008E-2</v>
      </c>
      <c r="G138" s="221"/>
      <c r="H138" s="221">
        <f t="shared" si="201"/>
        <v>0.89600000000000013</v>
      </c>
      <c r="I138" s="551">
        <f t="shared" si="202"/>
        <v>12</v>
      </c>
      <c r="J138" s="451">
        <f t="shared" si="203"/>
        <v>19.584</v>
      </c>
      <c r="K138" s="451">
        <f t="shared" si="204"/>
        <v>31.584</v>
      </c>
      <c r="L138" s="451"/>
      <c r="M138" s="221">
        <f t="shared" si="205"/>
        <v>0.62006079027355621</v>
      </c>
      <c r="N138" s="176">
        <f t="shared" si="206"/>
        <v>5.0626723404255323</v>
      </c>
      <c r="O138" s="176">
        <f t="shared" si="262"/>
        <v>0.89600000000000013</v>
      </c>
      <c r="P138" s="221">
        <f t="shared" si="207"/>
        <v>0.31641702127659577</v>
      </c>
      <c r="Q138" s="221">
        <f t="shared" si="208"/>
        <v>16</v>
      </c>
      <c r="R138" s="221"/>
      <c r="S138" s="176">
        <f t="shared" si="209"/>
        <v>134.66656320606813</v>
      </c>
      <c r="T138" s="176">
        <f t="shared" si="210"/>
        <v>16</v>
      </c>
      <c r="U138" s="221">
        <f t="shared" si="211"/>
        <v>0.26759622367465508</v>
      </c>
      <c r="V138" s="221">
        <f t="shared" si="212"/>
        <v>0.66899055918663775</v>
      </c>
      <c r="W138" s="221">
        <f t="shared" si="213"/>
        <v>0.409920685776126</v>
      </c>
      <c r="X138" s="201">
        <f t="shared" si="214"/>
        <v>350</v>
      </c>
      <c r="Y138" s="451">
        <f t="shared" si="215"/>
        <v>350</v>
      </c>
      <c r="AA138" s="221">
        <f t="shared" si="216"/>
        <v>0.70864090316977857</v>
      </c>
      <c r="AB138" s="177">
        <f t="shared" si="217"/>
        <v>1.0855405992184108</v>
      </c>
      <c r="AC138" s="177">
        <f t="shared" si="218"/>
        <v>0.16154427883809541</v>
      </c>
      <c r="AD138" s="177"/>
      <c r="AE138" s="177">
        <f t="shared" si="219"/>
        <v>0.4595588235294118</v>
      </c>
      <c r="AF138" s="555">
        <f t="shared" si="220"/>
        <v>676.97777777777799</v>
      </c>
      <c r="AG138" s="538">
        <f t="shared" si="221"/>
        <v>2.8952205882352939E-2</v>
      </c>
      <c r="AI138" s="177">
        <f t="shared" si="222"/>
        <v>0.41722895393296955</v>
      </c>
      <c r="AJ138" s="177">
        <f t="shared" si="223"/>
        <v>0.41722895393296955</v>
      </c>
      <c r="AK138" s="177">
        <f t="shared" si="224"/>
        <v>1.278152635955313</v>
      </c>
      <c r="AM138" s="555">
        <f t="shared" si="225"/>
        <v>56.000000000000007</v>
      </c>
      <c r="AN138" s="469">
        <f t="shared" si="226"/>
        <v>350</v>
      </c>
      <c r="AP138" s="469">
        <f t="shared" si="227"/>
        <v>56.000000000000007</v>
      </c>
      <c r="AQ138" s="469">
        <f t="shared" si="228"/>
        <v>350</v>
      </c>
      <c r="AS138" s="5">
        <f t="shared" si="263"/>
        <v>2.8571428571428572</v>
      </c>
      <c r="AT138" s="5">
        <f t="shared" si="229"/>
        <v>1.0430723848324239</v>
      </c>
      <c r="AU138" s="5">
        <f t="shared" si="230"/>
        <v>1.8140704723104333</v>
      </c>
      <c r="AV138" s="5"/>
      <c r="AW138" s="177">
        <f t="shared" si="231"/>
        <v>0.36507533469134834</v>
      </c>
      <c r="AX138" s="177">
        <f t="shared" si="259"/>
        <v>0.91392000000000007</v>
      </c>
      <c r="AY138" s="177">
        <f t="shared" si="260"/>
        <v>0.15894537235978171</v>
      </c>
      <c r="AZ138" s="177">
        <f t="shared" si="264"/>
        <v>5.7499000218219081</v>
      </c>
      <c r="BA138" s="469">
        <f t="shared" si="232"/>
        <v>8.6504050333139713</v>
      </c>
      <c r="BB138" s="469">
        <f t="shared" si="233"/>
        <v>0.53920962666666661</v>
      </c>
      <c r="BC138" s="5">
        <f t="shared" si="258"/>
        <v>9.4062913379059518E-2</v>
      </c>
      <c r="BD138" s="469">
        <f t="shared" si="235"/>
        <v>15.298955029538412</v>
      </c>
      <c r="BF138" s="177">
        <f t="shared" si="265"/>
        <v>0.14554760305259803</v>
      </c>
      <c r="BG138" s="177">
        <f t="shared" si="261"/>
        <v>0.23033299623311992</v>
      </c>
      <c r="BI138" s="538">
        <f t="shared" si="236"/>
        <v>7.4144366640248255E-3</v>
      </c>
      <c r="BJ138" s="538">
        <f t="shared" si="237"/>
        <v>2.3061078741783092E-2</v>
      </c>
      <c r="BK138" s="538">
        <f t="shared" si="238"/>
        <v>4.3749999999999995E-3</v>
      </c>
      <c r="BL138" s="538">
        <f t="shared" si="239"/>
        <v>1.7457108480000001E-2</v>
      </c>
      <c r="BM138">
        <f t="shared" si="240"/>
        <v>3.48E-3</v>
      </c>
      <c r="BN138">
        <f t="shared" si="241"/>
        <v>6.1250000000000006E-6</v>
      </c>
      <c r="BO138" s="538">
        <f t="shared" si="242"/>
        <v>5.6872497339634731E-2</v>
      </c>
      <c r="BP138" s="469">
        <f t="shared" si="243"/>
        <v>55.787623885807911</v>
      </c>
      <c r="BQ138" s="538">
        <f t="shared" si="244"/>
        <v>4.16583564567235E-2</v>
      </c>
      <c r="BT138" s="469">
        <f t="shared" si="245"/>
        <v>41.658356456723503</v>
      </c>
      <c r="BU138" s="538">
        <f t="shared" si="246"/>
        <v>2.1184104754356646E-3</v>
      </c>
      <c r="BV138" s="538">
        <f t="shared" si="247"/>
        <v>1.5915986746117931E-3</v>
      </c>
      <c r="BW138" s="538">
        <f t="shared" si="248"/>
        <v>0</v>
      </c>
      <c r="BX138" s="538"/>
      <c r="BY138" s="538">
        <f t="shared" si="249"/>
        <v>3.0464000000000008E-3</v>
      </c>
      <c r="BZ138" s="469">
        <f t="shared" si="250"/>
        <v>6.7564091500474586</v>
      </c>
      <c r="CA138" s="177">
        <f t="shared" si="251"/>
        <v>0.10420238949257887</v>
      </c>
      <c r="CB138" s="5">
        <f t="shared" si="252"/>
        <v>0.89600000000000013</v>
      </c>
      <c r="CC138" s="177">
        <f t="shared" si="253"/>
        <v>0.89581869570873296</v>
      </c>
      <c r="CD138" s="5">
        <f t="shared" si="254"/>
        <v>89.581869570873295</v>
      </c>
      <c r="CG138" s="571">
        <f t="shared" si="255"/>
        <v>-50</v>
      </c>
      <c r="CH138">
        <f t="shared" si="256"/>
        <v>-50</v>
      </c>
    </row>
    <row r="139" spans="5:86" x14ac:dyDescent="0.25">
      <c r="E139" s="174">
        <v>29</v>
      </c>
      <c r="F139" s="221">
        <f t="shared" si="257"/>
        <v>5.7999999999999996E-2</v>
      </c>
      <c r="G139" s="221"/>
      <c r="H139" s="221">
        <f t="shared" si="201"/>
        <v>0.92799999999999994</v>
      </c>
      <c r="I139" s="551">
        <f t="shared" si="202"/>
        <v>12</v>
      </c>
      <c r="J139" s="451">
        <f t="shared" si="203"/>
        <v>19.584</v>
      </c>
      <c r="K139" s="451">
        <f t="shared" si="204"/>
        <v>31.584</v>
      </c>
      <c r="L139" s="451"/>
      <c r="M139" s="221">
        <f t="shared" si="205"/>
        <v>0.62006079027355621</v>
      </c>
      <c r="N139" s="176">
        <f t="shared" si="206"/>
        <v>5.0626723404255323</v>
      </c>
      <c r="O139" s="176">
        <f t="shared" si="262"/>
        <v>0.92799999999999994</v>
      </c>
      <c r="P139" s="221">
        <f t="shared" si="207"/>
        <v>0.31641702127659577</v>
      </c>
      <c r="Q139" s="221">
        <f t="shared" si="208"/>
        <v>16</v>
      </c>
      <c r="R139" s="221"/>
      <c r="S139" s="176">
        <f t="shared" si="209"/>
        <v>129.67978783858112</v>
      </c>
      <c r="T139" s="176">
        <f t="shared" si="210"/>
        <v>16</v>
      </c>
      <c r="U139" s="221">
        <f t="shared" si="211"/>
        <v>0.27715323166303557</v>
      </c>
      <c r="V139" s="221">
        <f t="shared" si="212"/>
        <v>0.69288307915758895</v>
      </c>
      <c r="W139" s="221">
        <f t="shared" si="213"/>
        <v>0.42456071026813047</v>
      </c>
      <c r="X139" s="201">
        <f t="shared" si="214"/>
        <v>350</v>
      </c>
      <c r="Y139" s="451">
        <f t="shared" si="215"/>
        <v>350</v>
      </c>
      <c r="AA139" s="221">
        <f t="shared" si="216"/>
        <v>0.70864090316977857</v>
      </c>
      <c r="AB139" s="177">
        <f t="shared" si="217"/>
        <v>1.0855405992184108</v>
      </c>
      <c r="AC139" s="177">
        <f t="shared" si="218"/>
        <v>0.16154427883809541</v>
      </c>
      <c r="AD139" s="177"/>
      <c r="AE139" s="177">
        <f t="shared" si="219"/>
        <v>0.4595588235294118</v>
      </c>
      <c r="AF139" s="555">
        <f t="shared" si="220"/>
        <v>701.15555555555557</v>
      </c>
      <c r="AG139" s="538">
        <f t="shared" si="221"/>
        <v>2.8952205882352939E-2</v>
      </c>
      <c r="AI139" s="177">
        <f t="shared" si="222"/>
        <v>0.42461411052524245</v>
      </c>
      <c r="AJ139" s="177">
        <f t="shared" si="223"/>
        <v>0.42461411052524245</v>
      </c>
      <c r="AK139" s="177">
        <f t="shared" si="224"/>
        <v>1.283076073683495</v>
      </c>
      <c r="AM139" s="555">
        <f t="shared" si="225"/>
        <v>57.999999999999993</v>
      </c>
      <c r="AN139" s="469">
        <f t="shared" si="226"/>
        <v>350</v>
      </c>
      <c r="AP139" s="469">
        <f t="shared" si="227"/>
        <v>57.999999999999993</v>
      </c>
      <c r="AQ139" s="469">
        <f t="shared" si="228"/>
        <v>350</v>
      </c>
      <c r="AS139" s="5">
        <f t="shared" si="263"/>
        <v>2.8571428571428572</v>
      </c>
      <c r="AT139" s="5">
        <f t="shared" si="229"/>
        <v>1.0615352763131061</v>
      </c>
      <c r="AU139" s="5">
        <f t="shared" si="230"/>
        <v>1.7956075808297511</v>
      </c>
      <c r="AV139" s="5"/>
      <c r="AW139" s="177">
        <f t="shared" si="231"/>
        <v>0.3715373467095871</v>
      </c>
      <c r="AX139" s="177">
        <f t="shared" si="259"/>
        <v>0.94655999999999996</v>
      </c>
      <c r="AY139" s="177">
        <f t="shared" si="260"/>
        <v>0.1601124663151455</v>
      </c>
      <c r="AZ139" s="177">
        <f t="shared" si="264"/>
        <v>5.9118444789733537</v>
      </c>
      <c r="BA139" s="469">
        <f t="shared" si="232"/>
        <v>8.6504050333139713</v>
      </c>
      <c r="BB139" s="469">
        <f t="shared" si="233"/>
        <v>0.57219808166666652</v>
      </c>
      <c r="BC139" s="5">
        <f t="shared" si="258"/>
        <v>9.6430777489005137E-2</v>
      </c>
      <c r="BD139" s="469">
        <f t="shared" si="235"/>
        <v>15.686702176018599</v>
      </c>
      <c r="BF139" s="177">
        <f t="shared" si="265"/>
        <v>0.14942904902378948</v>
      </c>
      <c r="BG139" s="177">
        <f t="shared" si="261"/>
        <v>0.23321408614131067</v>
      </c>
      <c r="BI139" s="538">
        <f t="shared" si="236"/>
        <v>7.8151642422539264E-3</v>
      </c>
      <c r="BJ139" s="538">
        <f t="shared" si="237"/>
        <v>2.3469271116951202E-2</v>
      </c>
      <c r="BK139" s="538">
        <f t="shared" si="238"/>
        <v>4.3749999999999995E-3</v>
      </c>
      <c r="BL139" s="538">
        <f t="shared" si="239"/>
        <v>1.7457108480000001E-2</v>
      </c>
      <c r="BM139">
        <f t="shared" si="240"/>
        <v>3.48E-3</v>
      </c>
      <c r="BN139">
        <f t="shared" si="241"/>
        <v>6.1250000000000006E-6</v>
      </c>
      <c r="BO139" s="538">
        <f t="shared" si="242"/>
        <v>5.7740972593417372E-2</v>
      </c>
      <c r="BP139" s="469">
        <f t="shared" si="243"/>
        <v>56.596543839205118</v>
      </c>
      <c r="BQ139" s="538">
        <f t="shared" si="244"/>
        <v>4.293252541034559E-2</v>
      </c>
      <c r="BT139" s="469">
        <f t="shared" si="245"/>
        <v>42.93252541034559</v>
      </c>
      <c r="BU139" s="538">
        <f t="shared" si="246"/>
        <v>2.2329040692154081E-3</v>
      </c>
      <c r="BV139" s="538">
        <f t="shared" si="247"/>
        <v>1.6316642992418003E-3</v>
      </c>
      <c r="BW139" s="538">
        <f t="shared" si="248"/>
        <v>0</v>
      </c>
      <c r="BX139" s="538"/>
      <c r="BY139" s="538">
        <f t="shared" si="249"/>
        <v>3.1551999999999995E-3</v>
      </c>
      <c r="BZ139" s="469">
        <f t="shared" si="250"/>
        <v>7.0197683684572088</v>
      </c>
      <c r="CA139" s="177">
        <f t="shared" si="251"/>
        <v>0.10654883761800792</v>
      </c>
      <c r="CB139" s="5">
        <f t="shared" si="252"/>
        <v>0.92799999999999994</v>
      </c>
      <c r="CC139" s="177">
        <f t="shared" si="253"/>
        <v>0.89700936896963623</v>
      </c>
      <c r="CD139" s="5">
        <f t="shared" si="254"/>
        <v>89.700936896963626</v>
      </c>
      <c r="CG139" s="571">
        <f t="shared" si="255"/>
        <v>-50</v>
      </c>
      <c r="CH139">
        <f t="shared" si="256"/>
        <v>-50</v>
      </c>
    </row>
    <row r="140" spans="5:86" x14ac:dyDescent="0.25">
      <c r="E140" s="174">
        <v>30</v>
      </c>
      <c r="F140" s="221">
        <f t="shared" si="257"/>
        <v>0.06</v>
      </c>
      <c r="G140" s="221"/>
      <c r="H140" s="221">
        <f t="shared" si="201"/>
        <v>0.96</v>
      </c>
      <c r="I140" s="551">
        <f t="shared" si="202"/>
        <v>12</v>
      </c>
      <c r="J140" s="451">
        <f t="shared" si="203"/>
        <v>19.584</v>
      </c>
      <c r="K140" s="451">
        <f t="shared" si="204"/>
        <v>31.584</v>
      </c>
      <c r="L140" s="451"/>
      <c r="M140" s="221">
        <f t="shared" si="205"/>
        <v>0.62006079027355621</v>
      </c>
      <c r="N140" s="176">
        <f t="shared" si="206"/>
        <v>5.0626723404255323</v>
      </c>
      <c r="O140" s="176">
        <f t="shared" si="262"/>
        <v>0.96</v>
      </c>
      <c r="P140" s="221">
        <f t="shared" si="207"/>
        <v>0.31641702127659577</v>
      </c>
      <c r="Q140" s="221">
        <f t="shared" si="208"/>
        <v>16</v>
      </c>
      <c r="R140" s="221"/>
      <c r="S140" s="176">
        <f t="shared" si="209"/>
        <v>125.02552943064291</v>
      </c>
      <c r="T140" s="176">
        <f t="shared" si="210"/>
        <v>16</v>
      </c>
      <c r="U140" s="221">
        <f t="shared" si="211"/>
        <v>0.28671023965141607</v>
      </c>
      <c r="V140" s="221">
        <f t="shared" si="212"/>
        <v>0.71677559912854028</v>
      </c>
      <c r="W140" s="221">
        <f t="shared" si="213"/>
        <v>0.43920073476013499</v>
      </c>
      <c r="X140" s="201">
        <f t="shared" si="214"/>
        <v>350</v>
      </c>
      <c r="Y140" s="451">
        <f t="shared" si="215"/>
        <v>350</v>
      </c>
      <c r="AA140" s="221">
        <f t="shared" si="216"/>
        <v>0.70864090316977857</v>
      </c>
      <c r="AB140" s="177">
        <f t="shared" si="217"/>
        <v>1.0855405992184108</v>
      </c>
      <c r="AC140" s="177">
        <f t="shared" si="218"/>
        <v>0.16154427883809541</v>
      </c>
      <c r="AD140" s="177"/>
      <c r="AE140" s="177">
        <f t="shared" si="219"/>
        <v>0.4595588235294118</v>
      </c>
      <c r="AF140" s="555">
        <f t="shared" si="220"/>
        <v>725.33333333333337</v>
      </c>
      <c r="AG140" s="538">
        <f t="shared" si="221"/>
        <v>2.8952205882352939E-2</v>
      </c>
      <c r="AI140" s="177">
        <f t="shared" si="222"/>
        <v>0.43187299720436989</v>
      </c>
      <c r="AJ140" s="177">
        <f t="shared" si="223"/>
        <v>0.43187299720436989</v>
      </c>
      <c r="AK140" s="177">
        <f t="shared" si="224"/>
        <v>1.2879153314695799</v>
      </c>
      <c r="AM140" s="555">
        <f t="shared" si="225"/>
        <v>60</v>
      </c>
      <c r="AN140" s="469">
        <f t="shared" si="226"/>
        <v>350</v>
      </c>
      <c r="AP140" s="469">
        <f t="shared" si="227"/>
        <v>60</v>
      </c>
      <c r="AQ140" s="469">
        <f t="shared" si="228"/>
        <v>350</v>
      </c>
      <c r="AS140" s="5">
        <f t="shared" si="263"/>
        <v>2.8571428571428572</v>
      </c>
      <c r="AT140" s="5">
        <f t="shared" si="229"/>
        <v>1.0796824930109248</v>
      </c>
      <c r="AU140" s="5">
        <f t="shared" si="230"/>
        <v>1.7774603641319324</v>
      </c>
      <c r="AV140" s="5"/>
      <c r="AW140" s="177">
        <f t="shared" si="231"/>
        <v>0.37788887255382364</v>
      </c>
      <c r="AX140" s="177">
        <f t="shared" si="259"/>
        <v>0.97919999999999996</v>
      </c>
      <c r="AY140" s="177">
        <f t="shared" si="260"/>
        <v>0.16120379832262197</v>
      </c>
      <c r="AZ140" s="177">
        <f t="shared" si="264"/>
        <v>6.0742985598906163</v>
      </c>
      <c r="BA140" s="469">
        <f t="shared" si="232"/>
        <v>8.6504050333139713</v>
      </c>
      <c r="BB140" s="469">
        <f t="shared" si="233"/>
        <v>0.60613349999999988</v>
      </c>
      <c r="BC140" s="5">
        <f t="shared" si="258"/>
        <v>9.8747798007329565E-2</v>
      </c>
      <c r="BD140" s="469">
        <f t="shared" si="235"/>
        <v>16.066314347839398</v>
      </c>
      <c r="BF140" s="177">
        <f t="shared" si="265"/>
        <v>0.15327717066777335</v>
      </c>
      <c r="BG140" s="177">
        <f t="shared" si="261"/>
        <v>0.23599926701974228</v>
      </c>
      <c r="BI140" s="538">
        <f t="shared" si="236"/>
        <v>8.2228618667712014E-3</v>
      </c>
      <c r="BJ140" s="538">
        <f t="shared" si="237"/>
        <v>2.3870484301479936E-2</v>
      </c>
      <c r="BK140" s="538">
        <f t="shared" si="238"/>
        <v>4.3749999999999995E-3</v>
      </c>
      <c r="BL140" s="538">
        <f t="shared" si="239"/>
        <v>1.7457108480000001E-2</v>
      </c>
      <c r="BM140">
        <f t="shared" si="240"/>
        <v>3.48E-3</v>
      </c>
      <c r="BN140">
        <f t="shared" si="241"/>
        <v>6.1250000000000006E-6</v>
      </c>
      <c r="BO140" s="538">
        <f t="shared" si="242"/>
        <v>5.8610585174869702E-2</v>
      </c>
      <c r="BP140" s="469">
        <f t="shared" si="243"/>
        <v>57.40545464825113</v>
      </c>
      <c r="BQ140" s="538">
        <f t="shared" si="244"/>
        <v>4.4195739840932849E-2</v>
      </c>
      <c r="BT140" s="469">
        <f t="shared" si="245"/>
        <v>44.195739840932852</v>
      </c>
      <c r="BU140" s="538">
        <f t="shared" si="246"/>
        <v>2.3493891047917724E-3</v>
      </c>
      <c r="BV140" s="538">
        <f t="shared" si="247"/>
        <v>1.6708696210156685E-3</v>
      </c>
      <c r="BW140" s="538">
        <f t="shared" si="248"/>
        <v>0</v>
      </c>
      <c r="BX140" s="538"/>
      <c r="BY140" s="538">
        <f t="shared" si="249"/>
        <v>3.2639999999999995E-3</v>
      </c>
      <c r="BZ140" s="469">
        <f t="shared" si="250"/>
        <v>7.2842587258074403</v>
      </c>
      <c r="CA140" s="177">
        <f t="shared" si="251"/>
        <v>0.10888545321499142</v>
      </c>
      <c r="CB140" s="5">
        <f t="shared" si="252"/>
        <v>0.96</v>
      </c>
      <c r="CC140" s="177">
        <f t="shared" si="253"/>
        <v>0.89813178494712786</v>
      </c>
      <c r="CD140" s="5">
        <f t="shared" si="254"/>
        <v>89.813178494712787</v>
      </c>
      <c r="CG140" s="571">
        <f t="shared" si="255"/>
        <v>-50</v>
      </c>
      <c r="CH140">
        <f t="shared" si="256"/>
        <v>-50</v>
      </c>
    </row>
    <row r="141" spans="5:86" x14ac:dyDescent="0.25">
      <c r="E141" s="174">
        <v>31</v>
      </c>
      <c r="F141" s="221">
        <f t="shared" si="257"/>
        <v>6.2E-2</v>
      </c>
      <c r="G141" s="221"/>
      <c r="H141" s="221">
        <f t="shared" si="201"/>
        <v>0.99199999999999999</v>
      </c>
      <c r="I141" s="551">
        <f t="shared" si="202"/>
        <v>12</v>
      </c>
      <c r="J141" s="451">
        <f t="shared" si="203"/>
        <v>19.584</v>
      </c>
      <c r="K141" s="451">
        <f t="shared" si="204"/>
        <v>31.584</v>
      </c>
      <c r="L141" s="451"/>
      <c r="M141" s="221">
        <f t="shared" si="205"/>
        <v>0.62006079027355621</v>
      </c>
      <c r="N141" s="176">
        <f t="shared" si="206"/>
        <v>5.0626723404255323</v>
      </c>
      <c r="O141" s="176">
        <f t="shared" si="262"/>
        <v>0.99199999999999999</v>
      </c>
      <c r="P141" s="221">
        <f t="shared" si="207"/>
        <v>0.31641702127659577</v>
      </c>
      <c r="Q141" s="221">
        <f t="shared" si="208"/>
        <v>16</v>
      </c>
      <c r="R141" s="221"/>
      <c r="S141" s="176">
        <f t="shared" si="209"/>
        <v>120.67160940532598</v>
      </c>
      <c r="T141" s="176">
        <f t="shared" si="210"/>
        <v>16</v>
      </c>
      <c r="U141" s="221">
        <f t="shared" si="211"/>
        <v>0.29626724763979662</v>
      </c>
      <c r="V141" s="221">
        <f t="shared" si="212"/>
        <v>0.7406681190994916</v>
      </c>
      <c r="W141" s="221">
        <f t="shared" si="213"/>
        <v>0.4538407592521394</v>
      </c>
      <c r="X141" s="201">
        <f t="shared" si="214"/>
        <v>350</v>
      </c>
      <c r="Y141" s="451">
        <f t="shared" si="215"/>
        <v>350</v>
      </c>
      <c r="AA141" s="221">
        <f t="shared" si="216"/>
        <v>0.70864090316977857</v>
      </c>
      <c r="AB141" s="177">
        <f t="shared" si="217"/>
        <v>1.0855405992184108</v>
      </c>
      <c r="AC141" s="177">
        <f t="shared" si="218"/>
        <v>0.16154427883809541</v>
      </c>
      <c r="AD141" s="177"/>
      <c r="AE141" s="177">
        <f t="shared" si="219"/>
        <v>0.4595588235294118</v>
      </c>
      <c r="AF141" s="555">
        <f t="shared" si="220"/>
        <v>749.51111111111118</v>
      </c>
      <c r="AG141" s="538">
        <f t="shared" si="221"/>
        <v>2.8952205882352939E-2</v>
      </c>
      <c r="AI141" s="177">
        <f t="shared" si="222"/>
        <v>0.43901187748331882</v>
      </c>
      <c r="AJ141" s="177">
        <f t="shared" si="223"/>
        <v>0.43901187748331882</v>
      </c>
      <c r="AK141" s="177">
        <f t="shared" si="224"/>
        <v>1.2926745849888792</v>
      </c>
      <c r="AM141" s="555">
        <f t="shared" si="225"/>
        <v>62</v>
      </c>
      <c r="AN141" s="469">
        <f t="shared" si="226"/>
        <v>350</v>
      </c>
      <c r="AP141" s="469">
        <f t="shared" si="227"/>
        <v>62</v>
      </c>
      <c r="AQ141" s="469">
        <f t="shared" si="228"/>
        <v>350</v>
      </c>
      <c r="AS141" s="5">
        <f t="shared" si="263"/>
        <v>2.8571428571428572</v>
      </c>
      <c r="AT141" s="5">
        <f t="shared" si="229"/>
        <v>1.097529693708297</v>
      </c>
      <c r="AU141" s="5">
        <f t="shared" si="230"/>
        <v>1.7596131634345602</v>
      </c>
      <c r="AV141" s="5"/>
      <c r="AW141" s="177">
        <f t="shared" si="231"/>
        <v>0.38413539279790393</v>
      </c>
      <c r="AX141" s="177">
        <f t="shared" si="259"/>
        <v>1.0118399999999999</v>
      </c>
      <c r="AY141" s="177">
        <f t="shared" si="260"/>
        <v>0.16222312648999132</v>
      </c>
      <c r="AZ141" s="177">
        <f t="shared" si="264"/>
        <v>6.2373350945275199</v>
      </c>
      <c r="BA141" s="469">
        <f t="shared" si="232"/>
        <v>8.6504050333139713</v>
      </c>
      <c r="BB141" s="469">
        <f t="shared" si="233"/>
        <v>0.64101588166666645</v>
      </c>
      <c r="BC141" s="5">
        <f t="shared" si="258"/>
        <v>0.10101482975272476</v>
      </c>
      <c r="BD141" s="469">
        <f t="shared" si="235"/>
        <v>16.43792831599152</v>
      </c>
      <c r="BF141" s="177">
        <f t="shared" si="265"/>
        <v>0.15709335124779242</v>
      </c>
      <c r="BG141" s="177">
        <f t="shared" si="261"/>
        <v>0.23869290618966454</v>
      </c>
      <c r="BI141" s="538">
        <f t="shared" si="236"/>
        <v>8.6374123521917989E-3</v>
      </c>
      <c r="BJ141" s="538">
        <f t="shared" si="237"/>
        <v>2.4265064492257998E-2</v>
      </c>
      <c r="BK141" s="538">
        <f t="shared" si="238"/>
        <v>4.3749999999999995E-3</v>
      </c>
      <c r="BL141" s="538">
        <f t="shared" si="239"/>
        <v>1.7457108480000001E-2</v>
      </c>
      <c r="BM141">
        <f t="shared" si="240"/>
        <v>3.48E-3</v>
      </c>
      <c r="BN141">
        <f t="shared" si="241"/>
        <v>6.1250000000000006E-6</v>
      </c>
      <c r="BO141" s="538">
        <f t="shared" si="242"/>
        <v>5.9481550944983308E-2</v>
      </c>
      <c r="BP141" s="469">
        <f t="shared" si="243"/>
        <v>58.214585324449786</v>
      </c>
      <c r="BQ141" s="538">
        <f t="shared" si="244"/>
        <v>4.5448183923732378E-2</v>
      </c>
      <c r="BT141" s="469">
        <f t="shared" si="245"/>
        <v>45.44818392373238</v>
      </c>
      <c r="BU141" s="538">
        <f t="shared" si="246"/>
        <v>2.4678321006262284E-3</v>
      </c>
      <c r="BV141" s="538">
        <f t="shared" si="247"/>
        <v>1.7092291039580399E-3</v>
      </c>
      <c r="BW141" s="538">
        <f t="shared" si="248"/>
        <v>0</v>
      </c>
      <c r="BX141" s="538"/>
      <c r="BY141" s="538">
        <f t="shared" si="249"/>
        <v>3.3727999999999991E-3</v>
      </c>
      <c r="BZ141" s="469">
        <f t="shared" si="250"/>
        <v>7.5498612045842677</v>
      </c>
      <c r="CA141" s="177">
        <f t="shared" si="251"/>
        <v>0.11121263045276643</v>
      </c>
      <c r="CB141" s="5">
        <f t="shared" si="252"/>
        <v>0.99199999999999999</v>
      </c>
      <c r="CC141" s="177">
        <f t="shared" si="253"/>
        <v>0.89919202574110846</v>
      </c>
      <c r="CD141" s="5">
        <f t="shared" si="254"/>
        <v>89.919202574110841</v>
      </c>
      <c r="CG141" s="571">
        <f t="shared" si="255"/>
        <v>-50</v>
      </c>
      <c r="CH141">
        <f t="shared" si="256"/>
        <v>-50</v>
      </c>
    </row>
    <row r="142" spans="5:86" x14ac:dyDescent="0.25">
      <c r="E142" s="174">
        <v>32</v>
      </c>
      <c r="F142" s="221">
        <f t="shared" si="257"/>
        <v>6.4000000000000001E-2</v>
      </c>
      <c r="G142" s="221"/>
      <c r="H142" s="221">
        <f t="shared" ref="H142:H173" si="266">F142*Vout</f>
        <v>1.024</v>
      </c>
      <c r="I142" s="551">
        <f t="shared" ref="I142:I173" si="267">VIN_min</f>
        <v>12</v>
      </c>
      <c r="J142" s="451">
        <f t="shared" ref="J142:J173" si="268">(T142+Vfwd1)*Nps</f>
        <v>19.584</v>
      </c>
      <c r="K142" s="451">
        <f t="shared" ref="K142:K173" si="269">(Vout+Vfwd1)*Nps+I142</f>
        <v>31.584</v>
      </c>
      <c r="L142" s="451"/>
      <c r="M142" s="221">
        <f t="shared" ref="M142:M173" si="270">(Vout+Vfwd1)*Nps/((Vout+Vfwd1)*Nps+I142)</f>
        <v>0.62006079027355621</v>
      </c>
      <c r="N142" s="176">
        <f t="shared" ref="N142:N173" si="271">M142*I142*(Isw_max+VIN_min/Lmag*ILIM_delay)*0.5*Efficiency</f>
        <v>5.0626723404255323</v>
      </c>
      <c r="O142" s="176">
        <f t="shared" si="262"/>
        <v>1.024</v>
      </c>
      <c r="P142" s="221">
        <f t="shared" ref="P142:P173" si="272">N142/Vout</f>
        <v>0.31641702127659577</v>
      </c>
      <c r="Q142" s="221">
        <f t="shared" ref="Q142:Q173" si="273">MIN(Vout,N142/F142)</f>
        <v>16</v>
      </c>
      <c r="R142" s="221"/>
      <c r="S142" s="176">
        <f t="shared" ref="S142:S173" si="274">(SQRT(Isw_max^2*Nps^2*I142^2+4*Isw_max*F142/Efficiency*(Nps^2*Vfwd1*I142-Nps*I142^2)+4*(F142/Efficiency)^2*Nps^2*Vfwd1^2+8*(F142/Efficiency)^2*Nps*Vfwd1*I142+4*(F142/Efficiency)^2*I142^2)-2*F142/Efficiency*I142-2*F142/Efficiency*Nps*Vfwd1+Isw_max*Nps*I142)/(4*F142/Efficiency*Nps)</f>
        <v>116.58987151241895</v>
      </c>
      <c r="T142" s="176">
        <f t="shared" ref="T142:T173" si="275">MIN(Vout, S142)</f>
        <v>16</v>
      </c>
      <c r="U142" s="221">
        <f t="shared" ref="U142:U173" si="276">MIN(2*Vout*F142/(Efficiency*I142*M142), Isw_max)</f>
        <v>0.30582425562817717</v>
      </c>
      <c r="V142" s="221">
        <f t="shared" ref="V142:V173" si="277">L*U142/I142*1000000</f>
        <v>0.76456063907044292</v>
      </c>
      <c r="W142" s="221">
        <f t="shared" ref="W142:W173" si="278">L*U142/J142*1000000</f>
        <v>0.46848078374414398</v>
      </c>
      <c r="X142" s="201">
        <f t="shared" ref="X142:X173" si="279">IF(1/((350000*L)*(1/I142+1/J142))&gt;Isw_min, 350, 0.001/((Isw_min*L)*(1/I142+1/J142)))</f>
        <v>350</v>
      </c>
      <c r="Y142" s="451">
        <f t="shared" si="215"/>
        <v>350</v>
      </c>
      <c r="AA142" s="221">
        <f t="shared" ref="AA142:AA173" si="280">1/((X142*1000*L)*(1/I142+1/J142))</f>
        <v>0.70864090316977857</v>
      </c>
      <c r="AB142" s="177">
        <f t="shared" ref="AB142:AB173" si="281">L*AA142/J142*1000000</f>
        <v>1.0855405992184108</v>
      </c>
      <c r="AC142" s="177">
        <f t="shared" ref="AC142:AC173" si="282">0.5*AB142*AA142*Nps*X142/1000</f>
        <v>0.16154427883809541</v>
      </c>
      <c r="AD142" s="177"/>
      <c r="AE142" s="177">
        <f t="shared" ref="AE142:AE173" si="283">L*Isw_min/J142*1000000</f>
        <v>0.4595588235294118</v>
      </c>
      <c r="AF142" s="555">
        <f t="shared" ref="AF142:AF173" si="284">MAX(12000,F142/(0.5*AE142/1000000*Isw_min*Nps))/1000</f>
        <v>773.68888888888898</v>
      </c>
      <c r="AG142" s="538">
        <f t="shared" ref="AG142:AG173" si="285">0.5*AE142/1000000*Isw_min*Nps*X142*1000</f>
        <v>2.8952205882352939E-2</v>
      </c>
      <c r="AI142" s="177">
        <f t="shared" ref="AI142:AI173" si="286">SQRT(F142/(0.5*L/J142*Fsw_DCM*Nps))</f>
        <v>0.44603651355978852</v>
      </c>
      <c r="AJ142" s="177">
        <f t="shared" ref="AJ142:AJ173" si="287">MAX(IF(F142&gt;AC142,U142,AI142),Isw_min)</f>
        <v>0.44603651355978852</v>
      </c>
      <c r="AK142" s="177">
        <f t="shared" ref="AK142:AK173" si="288">IF(F142&gt;AG142, (AJ142-Isw_min)/1.2*0.8+1.2, AF142*0.2/350+1)</f>
        <v>1.2973576757065257</v>
      </c>
      <c r="AM142" s="555">
        <f t="shared" ref="AM142:AM173" si="289">F142*1000</f>
        <v>64</v>
      </c>
      <c r="AN142" s="469">
        <f t="shared" ref="AN142:AN173" si="290">IF(F142&gt;AG142, Y142, AF142)</f>
        <v>350</v>
      </c>
      <c r="AP142" s="469">
        <f t="shared" ref="AP142:AP173" si="291">IF(H142&gt;N142, "",AM142)</f>
        <v>64</v>
      </c>
      <c r="AQ142" s="469">
        <f t="shared" ref="AQ142:AQ173" si="292">IF(H142&gt;N142, "",AN142)</f>
        <v>350</v>
      </c>
      <c r="AS142" s="5">
        <f t="shared" si="263"/>
        <v>2.8571428571428572</v>
      </c>
      <c r="AT142" s="5">
        <f t="shared" ref="AT142:AT173" si="293">L*AJ142/I142*1000000</f>
        <v>1.1150912838994713</v>
      </c>
      <c r="AU142" s="5">
        <f t="shared" si="230"/>
        <v>1.7420515732433859</v>
      </c>
      <c r="AV142" s="5"/>
      <c r="AW142" s="177">
        <f t="shared" si="231"/>
        <v>0.39028194936481497</v>
      </c>
      <c r="AX142" s="177">
        <f t="shared" si="259"/>
        <v>1.0444800000000001</v>
      </c>
      <c r="AY142" s="177">
        <f t="shared" si="260"/>
        <v>0.16317390813587312</v>
      </c>
      <c r="AZ142" s="177">
        <f t="shared" si="264"/>
        <v>6.401023373971487</v>
      </c>
      <c r="BA142" s="469">
        <f t="shared" ref="BA142:BA173" si="294">L*Isw_max^2/(2*Vout_ripple*Vout)*1000000000*((1+M142)/2)^2</f>
        <v>8.6504050333139713</v>
      </c>
      <c r="BB142" s="469">
        <f t="shared" ref="BB142:BB173" si="295">L*F142^2/(2*Cout*Vout*Nps^2)*1000000000*((1+M142)/(1-M142))^2+F142*RCoutEsr</f>
        <v>0.67684522666666647</v>
      </c>
      <c r="BC142" s="5">
        <f t="shared" si="258"/>
        <v>0.10323268582183028</v>
      </c>
      <c r="BD142" s="469">
        <f t="shared" ref="BD142:BD173" si="296">((CB142/I142/Efficiency)*AU142/Cin+(CB142/I142/Efficiency)*RCinEsr)*1000</f>
        <v>16.80167417593729</v>
      </c>
      <c r="BF142" s="177">
        <f t="shared" si="265"/>
        <v>0.16087887398131551</v>
      </c>
      <c r="BG142" s="177">
        <f t="shared" si="261"/>
        <v>0.24129901962312245</v>
      </c>
      <c r="BI142" s="538">
        <f t="shared" si="236"/>
        <v>9.0587042327235981E-3</v>
      </c>
      <c r="BJ142" s="538">
        <f t="shared" si="237"/>
        <v>2.4653330177476635E-2</v>
      </c>
      <c r="BK142" s="538">
        <f t="shared" si="238"/>
        <v>4.3749999999999995E-3</v>
      </c>
      <c r="BL142" s="538">
        <f t="shared" si="239"/>
        <v>1.7457108480000001E-2</v>
      </c>
      <c r="BM142">
        <f t="shared" si="240"/>
        <v>3.48E-3</v>
      </c>
      <c r="BN142">
        <f t="shared" ref="BN142:BN173" si="297">(I142-Vdd)*Qg*AN142</f>
        <v>6.1250000000000006E-6</v>
      </c>
      <c r="BO142" s="538">
        <f t="shared" ref="BO142:BO173" si="298">(BJ142+BK142+BL142+BM142+BN142+BI142*(1+RdsonTC*(Ta-25)))/(1-BI142*RdsonTC*ThetaJA)</f>
        <v>6.0354064576552506E-2</v>
      </c>
      <c r="BP142" s="469">
        <f t="shared" si="243"/>
        <v>59.024142890200231</v>
      </c>
      <c r="BQ142" s="538">
        <f t="shared" ref="BQ142:BQ173" si="299">(Vfwd2*F142+BG142^2*Rdiode)*(1+Diode_TC/1000*(Ta-25))</f>
        <v>4.6690032844752573E-2</v>
      </c>
      <c r="BT142" s="469">
        <f t="shared" si="245"/>
        <v>46.690032844752572</v>
      </c>
      <c r="BU142" s="538">
        <f t="shared" si="246"/>
        <v>2.5882012093495998E-3</v>
      </c>
      <c r="BV142" s="538">
        <f t="shared" si="247"/>
        <v>1.7467565061324009E-3</v>
      </c>
      <c r="BW142" s="538">
        <f t="shared" si="248"/>
        <v>0</v>
      </c>
      <c r="BX142" s="538"/>
      <c r="BY142" s="538">
        <f t="shared" si="249"/>
        <v>3.4816000000000001E-3</v>
      </c>
      <c r="BZ142" s="469">
        <f t="shared" si="250"/>
        <v>7.8165577154820003</v>
      </c>
      <c r="CA142" s="177">
        <f t="shared" si="251"/>
        <v>0.11353073345043482</v>
      </c>
      <c r="CB142" s="5">
        <f t="shared" si="252"/>
        <v>1.024</v>
      </c>
      <c r="CC142" s="177">
        <f t="shared" si="253"/>
        <v>0.90019545836263637</v>
      </c>
      <c r="CD142" s="5">
        <f t="shared" si="254"/>
        <v>90.019545836263632</v>
      </c>
      <c r="CG142" s="571">
        <f t="shared" ref="CG142:CG173" si="300">IF(ABS(F142-Ioutmax_Vinmin)&lt;Iout/200, AN142, -50)</f>
        <v>-50</v>
      </c>
      <c r="CH142">
        <f t="shared" ref="CH142:CH173" si="301">IF(ABS(F142-Ioutmax_Vinmin)&lt;Iout/200, N142*CC142, -50)</f>
        <v>-50</v>
      </c>
    </row>
    <row r="143" spans="5:86" x14ac:dyDescent="0.25">
      <c r="E143" s="174">
        <v>33</v>
      </c>
      <c r="F143" s="221">
        <f t="shared" ref="F143:F174" si="302">IF(PLOT_TYPE=1, E143/100*Iout_max, min_I*EXP(N143*rr/100))</f>
        <v>6.6000000000000003E-2</v>
      </c>
      <c r="G143" s="221"/>
      <c r="H143" s="221">
        <f t="shared" si="266"/>
        <v>1.056</v>
      </c>
      <c r="I143" s="551">
        <f t="shared" si="267"/>
        <v>12</v>
      </c>
      <c r="J143" s="451">
        <f t="shared" si="268"/>
        <v>19.584</v>
      </c>
      <c r="K143" s="451">
        <f t="shared" si="269"/>
        <v>31.584</v>
      </c>
      <c r="L143" s="451"/>
      <c r="M143" s="221">
        <f t="shared" si="270"/>
        <v>0.62006079027355621</v>
      </c>
      <c r="N143" s="176">
        <f t="shared" si="271"/>
        <v>5.0626723404255323</v>
      </c>
      <c r="O143" s="176">
        <f t="shared" si="262"/>
        <v>1.056</v>
      </c>
      <c r="P143" s="221">
        <f t="shared" si="272"/>
        <v>0.31641702127659577</v>
      </c>
      <c r="Q143" s="221">
        <f t="shared" si="273"/>
        <v>16</v>
      </c>
      <c r="R143" s="221"/>
      <c r="S143" s="176">
        <f t="shared" si="274"/>
        <v>112.75557238503703</v>
      </c>
      <c r="T143" s="176">
        <f t="shared" si="275"/>
        <v>16</v>
      </c>
      <c r="U143" s="221">
        <f t="shared" si="276"/>
        <v>0.31538126361655772</v>
      </c>
      <c r="V143" s="221">
        <f t="shared" si="277"/>
        <v>0.78845315904139424</v>
      </c>
      <c r="W143" s="221">
        <f t="shared" si="278"/>
        <v>0.48312080823614839</v>
      </c>
      <c r="X143" s="201">
        <f t="shared" si="279"/>
        <v>350</v>
      </c>
      <c r="Y143" s="451">
        <f t="shared" si="215"/>
        <v>350</v>
      </c>
      <c r="AA143" s="221">
        <f t="shared" si="280"/>
        <v>0.70864090316977857</v>
      </c>
      <c r="AB143" s="177">
        <f t="shared" si="281"/>
        <v>1.0855405992184108</v>
      </c>
      <c r="AC143" s="177">
        <f t="shared" si="282"/>
        <v>0.16154427883809541</v>
      </c>
      <c r="AD143" s="177"/>
      <c r="AE143" s="177">
        <f t="shared" si="283"/>
        <v>0.4595588235294118</v>
      </c>
      <c r="AF143" s="555">
        <f t="shared" si="284"/>
        <v>797.86666666666679</v>
      </c>
      <c r="AG143" s="538">
        <f t="shared" si="285"/>
        <v>2.8952205882352939E-2</v>
      </c>
      <c r="AI143" s="177">
        <f t="shared" si="286"/>
        <v>0.45295222075370628</v>
      </c>
      <c r="AJ143" s="177">
        <f t="shared" si="287"/>
        <v>0.45295222075370628</v>
      </c>
      <c r="AK143" s="177">
        <f t="shared" si="288"/>
        <v>1.3019681471691376</v>
      </c>
      <c r="AM143" s="555">
        <f t="shared" si="289"/>
        <v>66</v>
      </c>
      <c r="AN143" s="469">
        <f t="shared" si="290"/>
        <v>350</v>
      </c>
      <c r="AP143" s="469">
        <f t="shared" si="291"/>
        <v>66</v>
      </c>
      <c r="AQ143" s="469">
        <f t="shared" si="292"/>
        <v>350</v>
      </c>
      <c r="AS143" s="5">
        <f t="shared" si="263"/>
        <v>2.8571428571428572</v>
      </c>
      <c r="AT143" s="5">
        <f t="shared" si="293"/>
        <v>1.1323805518842658</v>
      </c>
      <c r="AU143" s="5">
        <f t="shared" si="230"/>
        <v>1.7247623052585914</v>
      </c>
      <c r="AV143" s="5"/>
      <c r="AW143" s="177">
        <f t="shared" si="231"/>
        <v>0.396333193159493</v>
      </c>
      <c r="AX143" s="177">
        <f t="shared" si="259"/>
        <v>1.0771199999999999</v>
      </c>
      <c r="AY143" s="177">
        <f t="shared" si="260"/>
        <v>0.16405933245222376</v>
      </c>
      <c r="AZ143" s="177">
        <f t="shared" si="264"/>
        <v>6.5654296156158711</v>
      </c>
      <c r="BA143" s="469">
        <f t="shared" si="294"/>
        <v>8.6504050333139713</v>
      </c>
      <c r="BB143" s="469">
        <f t="shared" si="295"/>
        <v>0.71362153499999992</v>
      </c>
      <c r="BC143" s="5">
        <f t="shared" si="258"/>
        <v>0.10540214087691392</v>
      </c>
      <c r="BD143" s="469">
        <f t="shared" si="296"/>
        <v>17.157675873639562</v>
      </c>
      <c r="BF143" s="177">
        <f t="shared" si="265"/>
        <v>0.16463493216781724</v>
      </c>
      <c r="BG143" s="177">
        <f t="shared" si="261"/>
        <v>0.24382130992939124</v>
      </c>
      <c r="BI143" s="538">
        <f t="shared" si="236"/>
        <v>9.4866313114656247E-3</v>
      </c>
      <c r="BJ143" s="538">
        <f t="shared" si="237"/>
        <v>2.503557514549885E-2</v>
      </c>
      <c r="BK143" s="538">
        <f t="shared" si="238"/>
        <v>4.3749999999999995E-3</v>
      </c>
      <c r="BL143" s="538">
        <f t="shared" si="239"/>
        <v>1.7457108480000001E-2</v>
      </c>
      <c r="BM143">
        <f t="shared" si="240"/>
        <v>3.48E-3</v>
      </c>
      <c r="BN143">
        <f t="shared" si="297"/>
        <v>6.1250000000000006E-6</v>
      </c>
      <c r="BO143" s="538">
        <f t="shared" si="298"/>
        <v>6.122830204941207E-2</v>
      </c>
      <c r="BP143" s="469">
        <f t="shared" si="243"/>
        <v>59.834314936964461</v>
      </c>
      <c r="BQ143" s="538">
        <f t="shared" si="299"/>
        <v>4.7921453509111388E-2</v>
      </c>
      <c r="BT143" s="469">
        <f t="shared" si="245"/>
        <v>47.921453509111387</v>
      </c>
      <c r="BU143" s="538">
        <f t="shared" si="246"/>
        <v>2.7104660889901789E-3</v>
      </c>
      <c r="BV143" s="538">
        <f t="shared" si="247"/>
        <v>1.7834649352705277E-3</v>
      </c>
      <c r="BW143" s="538">
        <f t="shared" si="248"/>
        <v>0</v>
      </c>
      <c r="BX143" s="538"/>
      <c r="BY143" s="538">
        <f t="shared" si="249"/>
        <v>3.5904000000000001E-3</v>
      </c>
      <c r="BZ143" s="469">
        <f t="shared" si="250"/>
        <v>8.084331024260706</v>
      </c>
      <c r="CA143" s="177">
        <f t="shared" si="251"/>
        <v>0.11584009947033655</v>
      </c>
      <c r="CB143" s="5">
        <f t="shared" si="252"/>
        <v>1.056</v>
      </c>
      <c r="CC143" s="177">
        <f t="shared" si="253"/>
        <v>0.90114683776165749</v>
      </c>
      <c r="CD143" s="5">
        <f t="shared" si="254"/>
        <v>90.114683776165748</v>
      </c>
      <c r="CG143" s="571">
        <f t="shared" si="300"/>
        <v>-50</v>
      </c>
      <c r="CH143">
        <f t="shared" si="301"/>
        <v>-50</v>
      </c>
    </row>
    <row r="144" spans="5:86" x14ac:dyDescent="0.25">
      <c r="E144" s="174">
        <v>34</v>
      </c>
      <c r="F144" s="221">
        <f t="shared" si="302"/>
        <v>6.8000000000000005E-2</v>
      </c>
      <c r="G144" s="221"/>
      <c r="H144" s="221">
        <f t="shared" si="266"/>
        <v>1.0880000000000001</v>
      </c>
      <c r="I144" s="551">
        <f t="shared" si="267"/>
        <v>12</v>
      </c>
      <c r="J144" s="451">
        <f t="shared" si="268"/>
        <v>19.584</v>
      </c>
      <c r="K144" s="451">
        <f t="shared" si="269"/>
        <v>31.584</v>
      </c>
      <c r="L144" s="451"/>
      <c r="M144" s="221">
        <f t="shared" si="270"/>
        <v>0.62006079027355621</v>
      </c>
      <c r="N144" s="176">
        <f t="shared" si="271"/>
        <v>5.0626723404255323</v>
      </c>
      <c r="O144" s="176">
        <f t="shared" si="262"/>
        <v>1.0880000000000001</v>
      </c>
      <c r="P144" s="221">
        <f t="shared" si="272"/>
        <v>0.31641702127659577</v>
      </c>
      <c r="Q144" s="221">
        <f t="shared" si="273"/>
        <v>16</v>
      </c>
      <c r="R144" s="221"/>
      <c r="S144" s="176">
        <f t="shared" si="274"/>
        <v>109.14687964506673</v>
      </c>
      <c r="T144" s="176">
        <f t="shared" si="275"/>
        <v>16</v>
      </c>
      <c r="U144" s="221">
        <f t="shared" si="276"/>
        <v>0.32493827160493827</v>
      </c>
      <c r="V144" s="221">
        <f t="shared" si="277"/>
        <v>0.81234567901234567</v>
      </c>
      <c r="W144" s="221">
        <f t="shared" si="278"/>
        <v>0.49776083272815297</v>
      </c>
      <c r="X144" s="201">
        <f t="shared" si="279"/>
        <v>350</v>
      </c>
      <c r="Y144" s="451">
        <f t="shared" si="215"/>
        <v>350</v>
      </c>
      <c r="AA144" s="221">
        <f t="shared" si="280"/>
        <v>0.70864090316977857</v>
      </c>
      <c r="AB144" s="177">
        <f t="shared" si="281"/>
        <v>1.0855405992184108</v>
      </c>
      <c r="AC144" s="177">
        <f t="shared" si="282"/>
        <v>0.16154427883809541</v>
      </c>
      <c r="AD144" s="177"/>
      <c r="AE144" s="177">
        <f t="shared" si="283"/>
        <v>0.4595588235294118</v>
      </c>
      <c r="AF144" s="555">
        <f t="shared" si="284"/>
        <v>822.04444444444459</v>
      </c>
      <c r="AG144" s="538">
        <f t="shared" si="285"/>
        <v>2.8952205882352939E-2</v>
      </c>
      <c r="AI144" s="177">
        <f t="shared" si="286"/>
        <v>0.45976391457231303</v>
      </c>
      <c r="AJ144" s="177">
        <f t="shared" si="287"/>
        <v>0.45976391457231303</v>
      </c>
      <c r="AK144" s="177">
        <f t="shared" si="288"/>
        <v>1.306509276381542</v>
      </c>
      <c r="AM144" s="555">
        <f t="shared" si="289"/>
        <v>68</v>
      </c>
      <c r="AN144" s="469">
        <f t="shared" si="290"/>
        <v>350</v>
      </c>
      <c r="AP144" s="469">
        <f t="shared" si="291"/>
        <v>68</v>
      </c>
      <c r="AQ144" s="469">
        <f t="shared" si="292"/>
        <v>350</v>
      </c>
      <c r="AS144" s="5">
        <f t="shared" si="263"/>
        <v>2.8571428571428572</v>
      </c>
      <c r="AT144" s="5">
        <f t="shared" si="293"/>
        <v>1.1494097864307826</v>
      </c>
      <c r="AU144" s="5">
        <f t="shared" si="230"/>
        <v>1.7077330707120746</v>
      </c>
      <c r="AV144" s="5"/>
      <c r="AW144" s="177">
        <f t="shared" si="231"/>
        <v>0.40229342525077388</v>
      </c>
      <c r="AX144" s="177">
        <f t="shared" si="259"/>
        <v>1.1097600000000003</v>
      </c>
      <c r="AY144" s="177">
        <f t="shared" si="260"/>
        <v>0.16488234874338781</v>
      </c>
      <c r="AZ144" s="177">
        <f t="shared" si="264"/>
        <v>6.7306173672183602</v>
      </c>
      <c r="BA144" s="469">
        <f t="shared" si="294"/>
        <v>8.6504050333139713</v>
      </c>
      <c r="BB144" s="469">
        <f t="shared" si="295"/>
        <v>0.75134480666666659</v>
      </c>
      <c r="BC144" s="5">
        <f t="shared" si="258"/>
        <v>0.10752393408187136</v>
      </c>
      <c r="BD144" s="469">
        <f t="shared" si="296"/>
        <v>17.506051675321636</v>
      </c>
      <c r="BF144" s="177">
        <f t="shared" si="265"/>
        <v>0.16836263801617329</v>
      </c>
      <c r="BG144" s="177">
        <f t="shared" si="261"/>
        <v>0.24626319920302714</v>
      </c>
      <c r="BI144" s="538">
        <f t="shared" si="236"/>
        <v>9.9210922579177508E-3</v>
      </c>
      <c r="BJ144" s="538">
        <f t="shared" si="237"/>
        <v>2.5412071086240887E-2</v>
      </c>
      <c r="BK144" s="538">
        <f t="shared" si="238"/>
        <v>4.3749999999999995E-3</v>
      </c>
      <c r="BL144" s="538">
        <f t="shared" si="239"/>
        <v>1.7457108480000001E-2</v>
      </c>
      <c r="BM144">
        <f t="shared" si="240"/>
        <v>3.48E-3</v>
      </c>
      <c r="BN144">
        <f t="shared" si="297"/>
        <v>6.1250000000000006E-6</v>
      </c>
      <c r="BO144" s="538">
        <f t="shared" si="298"/>
        <v>6.2104422793132205E-2</v>
      </c>
      <c r="BP144" s="469">
        <f t="shared" si="243"/>
        <v>60.645271824158634</v>
      </c>
      <c r="BQ144" s="538">
        <f t="shared" si="299"/>
        <v>4.9142605173613157E-2</v>
      </c>
      <c r="BT144" s="469">
        <f t="shared" si="245"/>
        <v>49.142605173613156</v>
      </c>
      <c r="BU144" s="538">
        <f t="shared" si="246"/>
        <v>2.8345977879765004E-3</v>
      </c>
      <c r="BV144" s="538">
        <f t="shared" si="247"/>
        <v>1.8193668984512947E-3</v>
      </c>
      <c r="BW144" s="538">
        <f t="shared" si="248"/>
        <v>0</v>
      </c>
      <c r="BX144" s="538"/>
      <c r="BY144" s="538">
        <f t="shared" si="249"/>
        <v>3.6992000000000006E-3</v>
      </c>
      <c r="BZ144" s="469">
        <f t="shared" si="250"/>
        <v>8.353164686427796</v>
      </c>
      <c r="CA144" s="177">
        <f t="shared" si="251"/>
        <v>0.11814104168419957</v>
      </c>
      <c r="CB144" s="5">
        <f t="shared" si="252"/>
        <v>1.0880000000000001</v>
      </c>
      <c r="CC144" s="177">
        <f t="shared" si="253"/>
        <v>0.90205039244893548</v>
      </c>
      <c r="CD144" s="5">
        <f t="shared" si="254"/>
        <v>90.205039244893541</v>
      </c>
      <c r="CG144" s="571">
        <f t="shared" si="300"/>
        <v>-50</v>
      </c>
      <c r="CH144">
        <f t="shared" si="301"/>
        <v>-50</v>
      </c>
    </row>
    <row r="145" spans="5:86" x14ac:dyDescent="0.25">
      <c r="E145" s="174">
        <v>35</v>
      </c>
      <c r="F145" s="221">
        <f t="shared" si="302"/>
        <v>6.9999999999999993E-2</v>
      </c>
      <c r="G145" s="221"/>
      <c r="H145" s="221">
        <f t="shared" si="266"/>
        <v>1.1199999999999999</v>
      </c>
      <c r="I145" s="551">
        <f t="shared" si="267"/>
        <v>12</v>
      </c>
      <c r="J145" s="451">
        <f t="shared" si="268"/>
        <v>19.584</v>
      </c>
      <c r="K145" s="451">
        <f t="shared" si="269"/>
        <v>31.584</v>
      </c>
      <c r="L145" s="451"/>
      <c r="M145" s="221">
        <f t="shared" si="270"/>
        <v>0.62006079027355621</v>
      </c>
      <c r="N145" s="176">
        <f t="shared" si="271"/>
        <v>5.0626723404255323</v>
      </c>
      <c r="O145" s="176">
        <f t="shared" si="262"/>
        <v>1.1199999999999999</v>
      </c>
      <c r="P145" s="221">
        <f t="shared" si="272"/>
        <v>0.31641702127659577</v>
      </c>
      <c r="Q145" s="221">
        <f t="shared" si="273"/>
        <v>16</v>
      </c>
      <c r="R145" s="221"/>
      <c r="S145" s="176">
        <f t="shared" si="274"/>
        <v>105.74445604767773</v>
      </c>
      <c r="T145" s="176">
        <f t="shared" si="275"/>
        <v>16</v>
      </c>
      <c r="U145" s="221">
        <f t="shared" si="276"/>
        <v>0.33449527959331876</v>
      </c>
      <c r="V145" s="221">
        <f t="shared" si="277"/>
        <v>0.83623819898329699</v>
      </c>
      <c r="W145" s="221">
        <f t="shared" si="278"/>
        <v>0.51240085722015749</v>
      </c>
      <c r="X145" s="201">
        <f t="shared" si="279"/>
        <v>350</v>
      </c>
      <c r="Y145" s="451">
        <f t="shared" si="215"/>
        <v>350</v>
      </c>
      <c r="AA145" s="221">
        <f t="shared" si="280"/>
        <v>0.70864090316977857</v>
      </c>
      <c r="AB145" s="177">
        <f t="shared" si="281"/>
        <v>1.0855405992184108</v>
      </c>
      <c r="AC145" s="177">
        <f t="shared" si="282"/>
        <v>0.16154427883809541</v>
      </c>
      <c r="AD145" s="177"/>
      <c r="AE145" s="177">
        <f t="shared" si="283"/>
        <v>0.4595588235294118</v>
      </c>
      <c r="AF145" s="555">
        <f t="shared" si="284"/>
        <v>846.22222222222229</v>
      </c>
      <c r="AG145" s="538">
        <f t="shared" si="285"/>
        <v>2.8952205882352939E-2</v>
      </c>
      <c r="AI145" s="177">
        <f t="shared" si="286"/>
        <v>0.46647615158762401</v>
      </c>
      <c r="AJ145" s="177">
        <f t="shared" si="287"/>
        <v>0.46647615158762401</v>
      </c>
      <c r="AK145" s="177">
        <f t="shared" si="288"/>
        <v>1.310984101058416</v>
      </c>
      <c r="AM145" s="555">
        <f t="shared" si="289"/>
        <v>69.999999999999986</v>
      </c>
      <c r="AN145" s="469">
        <f t="shared" si="290"/>
        <v>350</v>
      </c>
      <c r="AP145" s="469">
        <f t="shared" si="291"/>
        <v>69.999999999999986</v>
      </c>
      <c r="AQ145" s="469">
        <f t="shared" si="292"/>
        <v>350</v>
      </c>
      <c r="AS145" s="5">
        <f t="shared" si="263"/>
        <v>2.8571428571428572</v>
      </c>
      <c r="AT145" s="5">
        <f t="shared" si="293"/>
        <v>1.1661903789690602</v>
      </c>
      <c r="AU145" s="5">
        <f t="shared" si="230"/>
        <v>1.690952478173797</v>
      </c>
      <c r="AV145" s="5"/>
      <c r="AW145" s="177">
        <f t="shared" si="231"/>
        <v>0.40816663263917108</v>
      </c>
      <c r="AX145" s="177">
        <f t="shared" si="259"/>
        <v>1.1424000000000001</v>
      </c>
      <c r="AY145" s="177">
        <f t="shared" si="260"/>
        <v>0.16564569095257439</v>
      </c>
      <c r="AZ145" s="177">
        <f t="shared" si="264"/>
        <v>6.8966478598412673</v>
      </c>
      <c r="BA145" s="469">
        <f t="shared" si="294"/>
        <v>8.6504050333139713</v>
      </c>
      <c r="BB145" s="469">
        <f t="shared" si="295"/>
        <v>0.79001504166666647</v>
      </c>
      <c r="BC145" s="5">
        <f t="shared" si="258"/>
        <v>0.10959877173348682</v>
      </c>
      <c r="BD145" s="469">
        <f t="shared" si="296"/>
        <v>17.846914588469005</v>
      </c>
      <c r="BF145" s="177">
        <f t="shared" si="265"/>
        <v>0.17206303037189949</v>
      </c>
      <c r="BG145" s="177">
        <f t="shared" si="261"/>
        <v>0.24862785755844785</v>
      </c>
      <c r="BI145" s="538">
        <f t="shared" si="236"/>
        <v>1.0361990247266422E-2</v>
      </c>
      <c r="BJ145" s="538">
        <f t="shared" si="237"/>
        <v>2.5783069850551156E-2</v>
      </c>
      <c r="BK145" s="538">
        <f t="shared" si="238"/>
        <v>4.3749999999999995E-3</v>
      </c>
      <c r="BL145" s="538">
        <f t="shared" si="239"/>
        <v>1.7457108480000001E-2</v>
      </c>
      <c r="BM145">
        <f t="shared" si="240"/>
        <v>3.48E-3</v>
      </c>
      <c r="BN145">
        <f t="shared" si="297"/>
        <v>6.1250000000000006E-6</v>
      </c>
      <c r="BO145" s="538">
        <f t="shared" si="298"/>
        <v>6.2982571535321955E-2</v>
      </c>
      <c r="BP145" s="469">
        <f t="shared" si="243"/>
        <v>61.457168577817576</v>
      </c>
      <c r="BQ145" s="538">
        <f t="shared" si="299"/>
        <v>5.0353640013667662E-2</v>
      </c>
      <c r="BT145" s="469">
        <f t="shared" si="245"/>
        <v>50.353640013667665</v>
      </c>
      <c r="BU145" s="538">
        <f t="shared" si="246"/>
        <v>2.9605686420761208E-3</v>
      </c>
      <c r="BV145" s="538">
        <f t="shared" si="247"/>
        <v>1.854474346623115E-3</v>
      </c>
      <c r="BW145" s="538">
        <f t="shared" si="248"/>
        <v>0</v>
      </c>
      <c r="BX145" s="538"/>
      <c r="BY145" s="538">
        <f t="shared" si="249"/>
        <v>3.8080000000000002E-3</v>
      </c>
      <c r="BZ145" s="469">
        <f t="shared" si="250"/>
        <v>8.6230429886992361</v>
      </c>
      <c r="CA145" s="177">
        <f t="shared" si="251"/>
        <v>0.12043385158018448</v>
      </c>
      <c r="CB145" s="5">
        <f t="shared" si="252"/>
        <v>1.1199999999999999</v>
      </c>
      <c r="CC145" s="177">
        <f t="shared" si="253"/>
        <v>0.90290989606034688</v>
      </c>
      <c r="CD145" s="5">
        <f t="shared" si="254"/>
        <v>90.290989606034685</v>
      </c>
      <c r="CG145" s="571">
        <f t="shared" si="300"/>
        <v>-50</v>
      </c>
      <c r="CH145">
        <f t="shared" si="301"/>
        <v>-50</v>
      </c>
    </row>
    <row r="146" spans="5:86" x14ac:dyDescent="0.25">
      <c r="E146" s="174">
        <v>36</v>
      </c>
      <c r="F146" s="221">
        <f t="shared" si="302"/>
        <v>7.1999999999999995E-2</v>
      </c>
      <c r="G146" s="221"/>
      <c r="H146" s="221">
        <f t="shared" si="266"/>
        <v>1.1519999999999999</v>
      </c>
      <c r="I146" s="551">
        <f t="shared" si="267"/>
        <v>12</v>
      </c>
      <c r="J146" s="451">
        <f t="shared" si="268"/>
        <v>19.584</v>
      </c>
      <c r="K146" s="451">
        <f t="shared" si="269"/>
        <v>31.584</v>
      </c>
      <c r="L146" s="451"/>
      <c r="M146" s="221">
        <f t="shared" si="270"/>
        <v>0.62006079027355621</v>
      </c>
      <c r="N146" s="176">
        <f t="shared" si="271"/>
        <v>5.0626723404255323</v>
      </c>
      <c r="O146" s="176">
        <f t="shared" si="262"/>
        <v>1.1519999999999999</v>
      </c>
      <c r="P146" s="221">
        <f t="shared" si="272"/>
        <v>0.31641702127659577</v>
      </c>
      <c r="Q146" s="221">
        <f t="shared" si="273"/>
        <v>16</v>
      </c>
      <c r="R146" s="221"/>
      <c r="S146" s="176">
        <f t="shared" si="274"/>
        <v>102.53111293508337</v>
      </c>
      <c r="T146" s="176">
        <f t="shared" si="275"/>
        <v>16</v>
      </c>
      <c r="U146" s="221">
        <f t="shared" si="276"/>
        <v>0.34405228758169931</v>
      </c>
      <c r="V146" s="221">
        <f t="shared" si="277"/>
        <v>0.8601307189542482</v>
      </c>
      <c r="W146" s="221">
        <f t="shared" si="278"/>
        <v>0.52704088171216201</v>
      </c>
      <c r="X146" s="201">
        <f t="shared" si="279"/>
        <v>350</v>
      </c>
      <c r="Y146" s="451">
        <f t="shared" si="215"/>
        <v>350</v>
      </c>
      <c r="AA146" s="221">
        <f t="shared" si="280"/>
        <v>0.70864090316977857</v>
      </c>
      <c r="AB146" s="177">
        <f t="shared" si="281"/>
        <v>1.0855405992184108</v>
      </c>
      <c r="AC146" s="177">
        <f t="shared" si="282"/>
        <v>0.16154427883809541</v>
      </c>
      <c r="AD146" s="177"/>
      <c r="AE146" s="177">
        <f t="shared" si="283"/>
        <v>0.4595588235294118</v>
      </c>
      <c r="AF146" s="555">
        <f t="shared" si="284"/>
        <v>870.4</v>
      </c>
      <c r="AG146" s="538">
        <f t="shared" si="285"/>
        <v>2.8952205882352939E-2</v>
      </c>
      <c r="AI146" s="177">
        <f t="shared" si="286"/>
        <v>0.47309316509239785</v>
      </c>
      <c r="AJ146" s="177">
        <f t="shared" si="287"/>
        <v>0.47309316509239785</v>
      </c>
      <c r="AK146" s="177">
        <f t="shared" si="288"/>
        <v>1.315395443394932</v>
      </c>
      <c r="AM146" s="555">
        <f t="shared" si="289"/>
        <v>72</v>
      </c>
      <c r="AN146" s="469">
        <f t="shared" si="290"/>
        <v>350</v>
      </c>
      <c r="AP146" s="469">
        <f t="shared" si="291"/>
        <v>72</v>
      </c>
      <c r="AQ146" s="469">
        <f t="shared" si="292"/>
        <v>350</v>
      </c>
      <c r="AS146" s="5">
        <f t="shared" si="263"/>
        <v>2.8571428571428572</v>
      </c>
      <c r="AT146" s="5">
        <f t="shared" si="293"/>
        <v>1.1827329127309947</v>
      </c>
      <c r="AU146" s="5">
        <f t="shared" si="230"/>
        <v>1.6744099444118625</v>
      </c>
      <c r="AV146" s="5"/>
      <c r="AW146" s="177">
        <f t="shared" si="231"/>
        <v>0.4139565194558481</v>
      </c>
      <c r="AX146" s="177">
        <f t="shared" si="259"/>
        <v>1.1750399999999999</v>
      </c>
      <c r="AY146" s="177">
        <f t="shared" si="260"/>
        <v>0.16635189905543871</v>
      </c>
      <c r="AZ146" s="177">
        <f t="shared" si="264"/>
        <v>7.0635803178201417</v>
      </c>
      <c r="BA146" s="469">
        <f t="shared" si="294"/>
        <v>8.6504050333139713</v>
      </c>
      <c r="BB146" s="469">
        <f t="shared" si="295"/>
        <v>0.82963223999999969</v>
      </c>
      <c r="BC146" s="5">
        <f t="shared" si="258"/>
        <v>0.11162732962745747</v>
      </c>
      <c r="BD146" s="469">
        <f t="shared" si="296"/>
        <v>18.180372740393199</v>
      </c>
      <c r="BF146" s="177">
        <f t="shared" si="265"/>
        <v>0.17573708150880316</v>
      </c>
      <c r="BG146" s="177">
        <f t="shared" si="261"/>
        <v>0.25091822802382224</v>
      </c>
      <c r="BI146" s="538">
        <f t="shared" si="236"/>
        <v>1.0809232636031103E-2</v>
      </c>
      <c r="BJ146" s="538">
        <f t="shared" si="237"/>
        <v>2.6148805420987017E-2</v>
      </c>
      <c r="BK146" s="538">
        <f t="shared" si="238"/>
        <v>4.3749999999999995E-3</v>
      </c>
      <c r="BL146" s="538">
        <f t="shared" si="239"/>
        <v>1.7457108480000001E-2</v>
      </c>
      <c r="BM146">
        <f t="shared" si="240"/>
        <v>3.48E-3</v>
      </c>
      <c r="BN146">
        <f t="shared" si="297"/>
        <v>6.1250000000000006E-6</v>
      </c>
      <c r="BO146" s="538">
        <f t="shared" si="298"/>
        <v>6.3862879902769537E-2</v>
      </c>
      <c r="BP146" s="469">
        <f t="shared" si="243"/>
        <v>62.270146537018107</v>
      </c>
      <c r="BQ146" s="538">
        <f t="shared" si="299"/>
        <v>5.155470363306288E-2</v>
      </c>
      <c r="BT146" s="469">
        <f t="shared" si="245"/>
        <v>51.554703633062879</v>
      </c>
      <c r="BU146" s="538">
        <f t="shared" si="246"/>
        <v>3.0883521817231725E-3</v>
      </c>
      <c r="BV146" s="538">
        <f t="shared" si="247"/>
        <v>1.8887987146384458E-3</v>
      </c>
      <c r="BW146" s="538">
        <f t="shared" si="248"/>
        <v>0</v>
      </c>
      <c r="BX146" s="538"/>
      <c r="BY146" s="538">
        <f t="shared" si="249"/>
        <v>3.9167999999999998E-3</v>
      </c>
      <c r="BZ146" s="469">
        <f t="shared" si="250"/>
        <v>8.8939508963616181</v>
      </c>
      <c r="CA146" s="177">
        <f t="shared" si="251"/>
        <v>0.12271880106644259</v>
      </c>
      <c r="CB146" s="5">
        <f t="shared" si="252"/>
        <v>1.1519999999999999</v>
      </c>
      <c r="CC146" s="177">
        <f t="shared" si="253"/>
        <v>0.90372872749364419</v>
      </c>
      <c r="CD146" s="5">
        <f t="shared" si="254"/>
        <v>90.372872749364419</v>
      </c>
      <c r="CG146" s="571">
        <f t="shared" si="300"/>
        <v>-50</v>
      </c>
      <c r="CH146">
        <f t="shared" si="301"/>
        <v>-50</v>
      </c>
    </row>
    <row r="147" spans="5:86" x14ac:dyDescent="0.25">
      <c r="E147" s="174">
        <v>37</v>
      </c>
      <c r="F147" s="221">
        <f t="shared" si="302"/>
        <v>7.3999999999999996E-2</v>
      </c>
      <c r="G147" s="221"/>
      <c r="H147" s="221">
        <f t="shared" si="266"/>
        <v>1.1839999999999999</v>
      </c>
      <c r="I147" s="551">
        <f t="shared" si="267"/>
        <v>12</v>
      </c>
      <c r="J147" s="451">
        <f t="shared" si="268"/>
        <v>19.584</v>
      </c>
      <c r="K147" s="451">
        <f t="shared" si="269"/>
        <v>31.584</v>
      </c>
      <c r="L147" s="451"/>
      <c r="M147" s="221">
        <f t="shared" si="270"/>
        <v>0.62006079027355621</v>
      </c>
      <c r="N147" s="176">
        <f t="shared" si="271"/>
        <v>5.0626723404255323</v>
      </c>
      <c r="O147" s="176">
        <f t="shared" si="262"/>
        <v>1.1839999999999999</v>
      </c>
      <c r="P147" s="221">
        <f t="shared" si="272"/>
        <v>0.31641702127659577</v>
      </c>
      <c r="Q147" s="221">
        <f t="shared" si="273"/>
        <v>16</v>
      </c>
      <c r="R147" s="221"/>
      <c r="S147" s="176">
        <f t="shared" si="274"/>
        <v>99.491519886989494</v>
      </c>
      <c r="T147" s="176">
        <f t="shared" si="275"/>
        <v>16</v>
      </c>
      <c r="U147" s="221">
        <f t="shared" si="276"/>
        <v>0.35360929557007986</v>
      </c>
      <c r="V147" s="221">
        <f t="shared" si="277"/>
        <v>0.88402323892519974</v>
      </c>
      <c r="W147" s="221">
        <f t="shared" si="278"/>
        <v>0.54168090620416653</v>
      </c>
      <c r="X147" s="201">
        <f t="shared" si="279"/>
        <v>350</v>
      </c>
      <c r="Y147" s="451">
        <f t="shared" si="215"/>
        <v>350</v>
      </c>
      <c r="AA147" s="221">
        <f t="shared" si="280"/>
        <v>0.70864090316977857</v>
      </c>
      <c r="AB147" s="177">
        <f t="shared" si="281"/>
        <v>1.0855405992184108</v>
      </c>
      <c r="AC147" s="177">
        <f t="shared" si="282"/>
        <v>0.16154427883809541</v>
      </c>
      <c r="AD147" s="177"/>
      <c r="AE147" s="177">
        <f t="shared" si="283"/>
        <v>0.4595588235294118</v>
      </c>
      <c r="AF147" s="555">
        <f t="shared" si="284"/>
        <v>894.5777777777779</v>
      </c>
      <c r="AG147" s="538">
        <f t="shared" si="285"/>
        <v>2.8952205882352939E-2</v>
      </c>
      <c r="AI147" s="177">
        <f t="shared" si="286"/>
        <v>0.47961889632737126</v>
      </c>
      <c r="AJ147" s="177">
        <f t="shared" si="287"/>
        <v>0.47961889632737126</v>
      </c>
      <c r="AK147" s="177">
        <f t="shared" si="288"/>
        <v>1.3197459308849142</v>
      </c>
      <c r="AM147" s="555">
        <f t="shared" si="289"/>
        <v>74</v>
      </c>
      <c r="AN147" s="469">
        <f t="shared" si="290"/>
        <v>350</v>
      </c>
      <c r="AP147" s="469">
        <f t="shared" si="291"/>
        <v>74</v>
      </c>
      <c r="AQ147" s="469">
        <f t="shared" si="292"/>
        <v>350</v>
      </c>
      <c r="AS147" s="5">
        <f t="shared" si="263"/>
        <v>2.8571428571428572</v>
      </c>
      <c r="AT147" s="5">
        <f t="shared" si="293"/>
        <v>1.1990472408184281</v>
      </c>
      <c r="AU147" s="5">
        <f t="shared" si="230"/>
        <v>1.6580956163244291</v>
      </c>
      <c r="AV147" s="5"/>
      <c r="AW147" s="177">
        <f t="shared" si="231"/>
        <v>0.41966653428644979</v>
      </c>
      <c r="AX147" s="177">
        <f t="shared" si="259"/>
        <v>1.2076799999999999</v>
      </c>
      <c r="AY147" s="177">
        <f t="shared" si="260"/>
        <v>0.16700333779642274</v>
      </c>
      <c r="AZ147" s="177">
        <f t="shared" si="264"/>
        <v>7.2314722324422238</v>
      </c>
      <c r="BA147" s="469">
        <f t="shared" si="294"/>
        <v>8.6504050333139713</v>
      </c>
      <c r="BB147" s="469">
        <f t="shared" si="295"/>
        <v>0.87019640166666634</v>
      </c>
      <c r="BC147" s="5">
        <f t="shared" si="258"/>
        <v>0.11361025519259975</v>
      </c>
      <c r="BD147" s="469">
        <f t="shared" si="296"/>
        <v>18.506529719704851</v>
      </c>
      <c r="BF147" s="177">
        <f t="shared" si="265"/>
        <v>0.17938570312111765</v>
      </c>
      <c r="BG147" s="177">
        <f t="shared" si="261"/>
        <v>0.25313704834639661</v>
      </c>
      <c r="BI147" s="538">
        <f t="shared" si="236"/>
        <v>1.1262730669490215E-2</v>
      </c>
      <c r="BJ147" s="538">
        <f t="shared" si="237"/>
        <v>2.6509495637806465E-2</v>
      </c>
      <c r="BK147" s="538">
        <f t="shared" si="238"/>
        <v>4.3749999999999995E-3</v>
      </c>
      <c r="BL147" s="538">
        <f t="shared" si="239"/>
        <v>1.7457108480000001E-2</v>
      </c>
      <c r="BM147">
        <f t="shared" si="240"/>
        <v>3.48E-3</v>
      </c>
      <c r="BN147">
        <f t="shared" si="297"/>
        <v>6.1250000000000006E-6</v>
      </c>
      <c r="BO147" s="538">
        <f t="shared" si="298"/>
        <v>6.4745467814015828E-2</v>
      </c>
      <c r="BP147" s="469">
        <f t="shared" si="243"/>
        <v>63.084334787296676</v>
      </c>
      <c r="BQ147" s="538">
        <f t="shared" si="299"/>
        <v>5.2745935523790907E-2</v>
      </c>
      <c r="BT147" s="469">
        <f t="shared" si="245"/>
        <v>52.745935523790905</v>
      </c>
      <c r="BU147" s="538">
        <f t="shared" si="246"/>
        <v>3.2179230484257765E-3</v>
      </c>
      <c r="BV147" s="538">
        <f t="shared" si="247"/>
        <v>1.9223509573657778E-3</v>
      </c>
      <c r="BW147" s="538">
        <f t="shared" si="248"/>
        <v>0</v>
      </c>
      <c r="BX147" s="538"/>
      <c r="BY147" s="538">
        <f t="shared" si="249"/>
        <v>4.0255999999999998E-3</v>
      </c>
      <c r="BZ147" s="469">
        <f t="shared" si="250"/>
        <v>9.1658740057915544</v>
      </c>
      <c r="CA147" s="177">
        <f t="shared" si="251"/>
        <v>0.12499614431687914</v>
      </c>
      <c r="CB147" s="5">
        <f t="shared" si="252"/>
        <v>1.1839999999999999</v>
      </c>
      <c r="CC147" s="177">
        <f t="shared" si="253"/>
        <v>0.90450992169873012</v>
      </c>
      <c r="CD147" s="5">
        <f t="shared" si="254"/>
        <v>90.450992169873018</v>
      </c>
      <c r="CG147" s="571">
        <f t="shared" si="300"/>
        <v>-50</v>
      </c>
      <c r="CH147">
        <f t="shared" si="301"/>
        <v>-50</v>
      </c>
    </row>
    <row r="148" spans="5:86" x14ac:dyDescent="0.25">
      <c r="E148" s="174">
        <v>38</v>
      </c>
      <c r="F148" s="221">
        <f t="shared" si="302"/>
        <v>7.6000000000000012E-2</v>
      </c>
      <c r="G148" s="221"/>
      <c r="H148" s="221">
        <f t="shared" si="266"/>
        <v>1.2160000000000002</v>
      </c>
      <c r="I148" s="551">
        <f t="shared" si="267"/>
        <v>12</v>
      </c>
      <c r="J148" s="451">
        <f t="shared" si="268"/>
        <v>19.584</v>
      </c>
      <c r="K148" s="451">
        <f t="shared" si="269"/>
        <v>31.584</v>
      </c>
      <c r="L148" s="451"/>
      <c r="M148" s="221">
        <f t="shared" si="270"/>
        <v>0.62006079027355621</v>
      </c>
      <c r="N148" s="176">
        <f t="shared" si="271"/>
        <v>5.0626723404255323</v>
      </c>
      <c r="O148" s="176">
        <f t="shared" si="262"/>
        <v>1.2160000000000002</v>
      </c>
      <c r="P148" s="221">
        <f t="shared" si="272"/>
        <v>0.31641702127659577</v>
      </c>
      <c r="Q148" s="221">
        <f t="shared" si="273"/>
        <v>16</v>
      </c>
      <c r="R148" s="221"/>
      <c r="S148" s="176">
        <f t="shared" si="274"/>
        <v>96.611960215709786</v>
      </c>
      <c r="T148" s="176">
        <f t="shared" si="275"/>
        <v>16</v>
      </c>
      <c r="U148" s="221">
        <f t="shared" si="276"/>
        <v>0.36316630355846047</v>
      </c>
      <c r="V148" s="221">
        <f t="shared" si="277"/>
        <v>0.90791575889615117</v>
      </c>
      <c r="W148" s="221">
        <f t="shared" si="278"/>
        <v>0.55632093069617106</v>
      </c>
      <c r="X148" s="201">
        <f t="shared" si="279"/>
        <v>350</v>
      </c>
      <c r="Y148" s="451">
        <f t="shared" si="215"/>
        <v>350</v>
      </c>
      <c r="AA148" s="221">
        <f t="shared" si="280"/>
        <v>0.70864090316977857</v>
      </c>
      <c r="AB148" s="177">
        <f t="shared" si="281"/>
        <v>1.0855405992184108</v>
      </c>
      <c r="AC148" s="177">
        <f t="shared" si="282"/>
        <v>0.16154427883809541</v>
      </c>
      <c r="AD148" s="177"/>
      <c r="AE148" s="177">
        <f t="shared" si="283"/>
        <v>0.4595588235294118</v>
      </c>
      <c r="AF148" s="555">
        <f t="shared" si="284"/>
        <v>918.7555555555557</v>
      </c>
      <c r="AG148" s="538">
        <f t="shared" si="285"/>
        <v>2.8952205882352939E-2</v>
      </c>
      <c r="AI148" s="177">
        <f t="shared" si="286"/>
        <v>0.4860570219340819</v>
      </c>
      <c r="AJ148" s="177">
        <f t="shared" si="287"/>
        <v>0.4860570219340819</v>
      </c>
      <c r="AK148" s="177">
        <f t="shared" si="288"/>
        <v>1.3240380146227213</v>
      </c>
      <c r="AM148" s="555">
        <f t="shared" si="289"/>
        <v>76.000000000000014</v>
      </c>
      <c r="AN148" s="469">
        <f t="shared" si="290"/>
        <v>350</v>
      </c>
      <c r="AP148" s="469">
        <f t="shared" si="291"/>
        <v>76.000000000000014</v>
      </c>
      <c r="AQ148" s="469">
        <f t="shared" si="292"/>
        <v>350</v>
      </c>
      <c r="AS148" s="5">
        <f t="shared" si="263"/>
        <v>2.8571428571428572</v>
      </c>
      <c r="AT148" s="5">
        <f t="shared" si="293"/>
        <v>1.2151425548352048</v>
      </c>
      <c r="AU148" s="5">
        <f t="shared" si="230"/>
        <v>1.6420003023076524</v>
      </c>
      <c r="AV148" s="5"/>
      <c r="AW148" s="177">
        <f t="shared" si="231"/>
        <v>0.42529989419232167</v>
      </c>
      <c r="AX148" s="177">
        <f t="shared" si="259"/>
        <v>1.2403200000000001</v>
      </c>
      <c r="AY148" s="177">
        <f t="shared" si="260"/>
        <v>0.16760221316044915</v>
      </c>
      <c r="AZ148" s="177">
        <f t="shared" si="264"/>
        <v>7.4003796048481503</v>
      </c>
      <c r="BA148" s="469">
        <f t="shared" si="294"/>
        <v>8.6504050333139713</v>
      </c>
      <c r="BB148" s="469">
        <f t="shared" si="295"/>
        <v>0.91170752666666677</v>
      </c>
      <c r="BC148" s="5">
        <f t="shared" si="258"/>
        <v>0.11554816942164962</v>
      </c>
      <c r="BD148" s="469">
        <f t="shared" si="296"/>
        <v>18.825484885241718</v>
      </c>
      <c r="BF148" s="177">
        <f t="shared" si="265"/>
        <v>0.18300975162926283</v>
      </c>
      <c r="BG148" s="177">
        <f t="shared" si="261"/>
        <v>0.25528687016504253</v>
      </c>
      <c r="BI148" s="538">
        <f t="shared" si="236"/>
        <v>1.1722399216991563E-2</v>
      </c>
      <c r="BJ148" s="538">
        <f t="shared" si="237"/>
        <v>2.6865343716340574E-2</v>
      </c>
      <c r="BK148" s="538">
        <f t="shared" si="238"/>
        <v>4.3749999999999995E-3</v>
      </c>
      <c r="BL148" s="538">
        <f t="shared" si="239"/>
        <v>1.7457108480000001E-2</v>
      </c>
      <c r="BM148">
        <f t="shared" si="240"/>
        <v>3.48E-3</v>
      </c>
      <c r="BN148">
        <f t="shared" si="297"/>
        <v>6.1250000000000006E-6</v>
      </c>
      <c r="BO148" s="538">
        <f t="shared" si="298"/>
        <v>6.5630444695087581E-2</v>
      </c>
      <c r="BP148" s="469">
        <f t="shared" si="243"/>
        <v>63.899851413332129</v>
      </c>
      <c r="BQ148" s="538">
        <f t="shared" si="299"/>
        <v>5.3927469482049385E-2</v>
      </c>
      <c r="BT148" s="469">
        <f t="shared" si="245"/>
        <v>53.927469482049382</v>
      </c>
      <c r="BU148" s="538">
        <f t="shared" si="246"/>
        <v>3.349256919140447E-3</v>
      </c>
      <c r="BV148" s="538">
        <f t="shared" si="247"/>
        <v>1.9551415823598982E-3</v>
      </c>
      <c r="BW148" s="538">
        <f t="shared" si="248"/>
        <v>0</v>
      </c>
      <c r="BX148" s="538"/>
      <c r="BY148" s="538">
        <f t="shared" si="249"/>
        <v>4.1344000000000007E-3</v>
      </c>
      <c r="BZ148" s="469">
        <f t="shared" si="250"/>
        <v>9.4387985015003473</v>
      </c>
      <c r="CA148" s="177">
        <f t="shared" si="251"/>
        <v>0.12726611939688187</v>
      </c>
      <c r="CB148" s="5">
        <f t="shared" si="252"/>
        <v>1.2160000000000002</v>
      </c>
      <c r="CC148" s="177">
        <f t="shared" si="253"/>
        <v>0.90525621277932367</v>
      </c>
      <c r="CD148" s="5">
        <f t="shared" si="254"/>
        <v>90.525621277932373</v>
      </c>
      <c r="CG148" s="571">
        <f t="shared" si="300"/>
        <v>-50</v>
      </c>
      <c r="CH148">
        <f t="shared" si="301"/>
        <v>-50</v>
      </c>
    </row>
    <row r="149" spans="5:86" x14ac:dyDescent="0.25">
      <c r="E149" s="174">
        <v>39</v>
      </c>
      <c r="F149" s="221">
        <f t="shared" si="302"/>
        <v>7.8000000000000014E-2</v>
      </c>
      <c r="G149" s="221"/>
      <c r="H149" s="221">
        <f t="shared" si="266"/>
        <v>1.2480000000000002</v>
      </c>
      <c r="I149" s="551">
        <f t="shared" si="267"/>
        <v>12</v>
      </c>
      <c r="J149" s="451">
        <f t="shared" si="268"/>
        <v>19.584</v>
      </c>
      <c r="K149" s="451">
        <f t="shared" si="269"/>
        <v>31.584</v>
      </c>
      <c r="L149" s="451"/>
      <c r="M149" s="221">
        <f t="shared" si="270"/>
        <v>0.62006079027355621</v>
      </c>
      <c r="N149" s="176">
        <f t="shared" si="271"/>
        <v>5.0626723404255323</v>
      </c>
      <c r="O149" s="176">
        <f t="shared" si="262"/>
        <v>1.2480000000000002</v>
      </c>
      <c r="P149" s="221">
        <f t="shared" si="272"/>
        <v>0.31641702127659577</v>
      </c>
      <c r="Q149" s="221">
        <f t="shared" si="273"/>
        <v>16</v>
      </c>
      <c r="R149" s="221"/>
      <c r="S149" s="176">
        <f t="shared" si="274"/>
        <v>93.880124077417733</v>
      </c>
      <c r="T149" s="176">
        <f t="shared" si="275"/>
        <v>16</v>
      </c>
      <c r="U149" s="221">
        <f t="shared" si="276"/>
        <v>0.37272331154684102</v>
      </c>
      <c r="V149" s="221">
        <f t="shared" si="277"/>
        <v>0.93180827886710249</v>
      </c>
      <c r="W149" s="221">
        <f t="shared" si="278"/>
        <v>0.57096095518817558</v>
      </c>
      <c r="X149" s="201">
        <f t="shared" si="279"/>
        <v>350</v>
      </c>
      <c r="Y149" s="451">
        <f t="shared" si="215"/>
        <v>350</v>
      </c>
      <c r="AA149" s="221">
        <f t="shared" si="280"/>
        <v>0.70864090316977857</v>
      </c>
      <c r="AB149" s="177">
        <f t="shared" si="281"/>
        <v>1.0855405992184108</v>
      </c>
      <c r="AC149" s="177">
        <f t="shared" si="282"/>
        <v>0.16154427883809541</v>
      </c>
      <c r="AD149" s="177"/>
      <c r="AE149" s="177">
        <f t="shared" si="283"/>
        <v>0.4595588235294118</v>
      </c>
      <c r="AF149" s="555">
        <f t="shared" si="284"/>
        <v>942.93333333333362</v>
      </c>
      <c r="AG149" s="538">
        <f t="shared" si="285"/>
        <v>2.8952205882352939E-2</v>
      </c>
      <c r="AI149" s="177">
        <f t="shared" si="286"/>
        <v>0.49241097817633134</v>
      </c>
      <c r="AJ149" s="177">
        <f t="shared" si="287"/>
        <v>0.49241097817633134</v>
      </c>
      <c r="AK149" s="177">
        <f t="shared" si="288"/>
        <v>1.3282739854508876</v>
      </c>
      <c r="AM149" s="555">
        <f t="shared" si="289"/>
        <v>78.000000000000014</v>
      </c>
      <c r="AN149" s="469">
        <f t="shared" si="290"/>
        <v>350</v>
      </c>
      <c r="AP149" s="469">
        <f t="shared" si="291"/>
        <v>78.000000000000014</v>
      </c>
      <c r="AQ149" s="469">
        <f t="shared" si="292"/>
        <v>350</v>
      </c>
      <c r="AS149" s="5">
        <f t="shared" si="263"/>
        <v>2.8571428571428572</v>
      </c>
      <c r="AT149" s="5">
        <f t="shared" si="293"/>
        <v>1.2310274454408283</v>
      </c>
      <c r="AU149" s="5">
        <f t="shared" si="230"/>
        <v>1.6261154117020289</v>
      </c>
      <c r="AV149" s="5"/>
      <c r="AW149" s="177">
        <f t="shared" si="231"/>
        <v>0.4308596059042899</v>
      </c>
      <c r="AX149" s="177">
        <f t="shared" si="259"/>
        <v>1.2729600000000003</v>
      </c>
      <c r="AY149" s="177">
        <f t="shared" si="260"/>
        <v>0.16815058690579876</v>
      </c>
      <c r="AZ149" s="177">
        <f t="shared" si="264"/>
        <v>7.5703571627325772</v>
      </c>
      <c r="BA149" s="469">
        <f t="shared" si="294"/>
        <v>8.6504050333139713</v>
      </c>
      <c r="BB149" s="469">
        <f t="shared" si="295"/>
        <v>0.95416561500000019</v>
      </c>
      <c r="BC149" s="5">
        <f t="shared" si="258"/>
        <v>0.11744166862292434</v>
      </c>
      <c r="BD149" s="469">
        <f t="shared" si="296"/>
        <v>19.137333646334557</v>
      </c>
      <c r="BF149" s="177">
        <f t="shared" si="265"/>
        <v>0.1866100328938135</v>
      </c>
      <c r="BG149" s="177">
        <f t="shared" si="261"/>
        <v>0.25737007592835431</v>
      </c>
      <c r="BI149" s="538">
        <f t="shared" si="236"/>
        <v>1.2188156531820555E-2</v>
      </c>
      <c r="BJ149" s="538">
        <f t="shared" si="237"/>
        <v>2.7216539585762183E-2</v>
      </c>
      <c r="BK149" s="538">
        <f t="shared" si="238"/>
        <v>4.3749999999999995E-3</v>
      </c>
      <c r="BL149" s="538">
        <f t="shared" si="239"/>
        <v>1.7457108480000001E-2</v>
      </c>
      <c r="BM149">
        <f t="shared" si="240"/>
        <v>3.48E-3</v>
      </c>
      <c r="BN149">
        <f t="shared" si="297"/>
        <v>6.1250000000000006E-6</v>
      </c>
      <c r="BO149" s="538">
        <f t="shared" si="298"/>
        <v>6.6517910544614742E-2</v>
      </c>
      <c r="BP149" s="469">
        <f t="shared" si="243"/>
        <v>64.716804597582737</v>
      </c>
      <c r="BQ149" s="538">
        <f t="shared" si="299"/>
        <v>5.5099433985646144E-2</v>
      </c>
      <c r="BT149" s="469">
        <f t="shared" si="245"/>
        <v>55.099433985646144</v>
      </c>
      <c r="BU149" s="538">
        <f t="shared" si="246"/>
        <v>3.4823304376630157E-3</v>
      </c>
      <c r="BV149" s="538">
        <f t="shared" si="247"/>
        <v>1.9871806795010057E-3</v>
      </c>
      <c r="BW149" s="538">
        <f t="shared" si="248"/>
        <v>0</v>
      </c>
      <c r="BX149" s="538"/>
      <c r="BY149" s="538">
        <f t="shared" si="249"/>
        <v>4.2432000000000008E-3</v>
      </c>
      <c r="BZ149" s="469">
        <f t="shared" si="250"/>
        <v>9.712711117164023</v>
      </c>
      <c r="CA149" s="177">
        <f t="shared" si="251"/>
        <v>0.12952894970039291</v>
      </c>
      <c r="CB149" s="5">
        <f t="shared" si="252"/>
        <v>1.2480000000000002</v>
      </c>
      <c r="CC149" s="177">
        <f t="shared" si="253"/>
        <v>0.90597007073530844</v>
      </c>
      <c r="CD149" s="5">
        <f t="shared" si="254"/>
        <v>90.597007073530847</v>
      </c>
      <c r="CG149" s="571">
        <f t="shared" si="300"/>
        <v>-50</v>
      </c>
      <c r="CH149">
        <f t="shared" si="301"/>
        <v>-50</v>
      </c>
    </row>
    <row r="150" spans="5:86" x14ac:dyDescent="0.25">
      <c r="E150" s="174">
        <v>40</v>
      </c>
      <c r="F150" s="221">
        <f t="shared" si="302"/>
        <v>8.0000000000000016E-2</v>
      </c>
      <c r="G150" s="221"/>
      <c r="H150" s="221">
        <f t="shared" si="266"/>
        <v>1.2800000000000002</v>
      </c>
      <c r="I150" s="551">
        <f t="shared" si="267"/>
        <v>12</v>
      </c>
      <c r="J150" s="451">
        <f t="shared" si="268"/>
        <v>19.584</v>
      </c>
      <c r="K150" s="451">
        <f t="shared" si="269"/>
        <v>31.584</v>
      </c>
      <c r="L150" s="451"/>
      <c r="M150" s="221">
        <f t="shared" si="270"/>
        <v>0.62006079027355621</v>
      </c>
      <c r="N150" s="176">
        <f t="shared" si="271"/>
        <v>5.0626723404255323</v>
      </c>
      <c r="O150" s="176">
        <f t="shared" si="262"/>
        <v>1.2800000000000002</v>
      </c>
      <c r="P150" s="221">
        <f t="shared" si="272"/>
        <v>0.31641702127659577</v>
      </c>
      <c r="Q150" s="221">
        <f t="shared" si="273"/>
        <v>16</v>
      </c>
      <c r="R150" s="221"/>
      <c r="S150" s="176">
        <f t="shared" si="274"/>
        <v>91.284932616711671</v>
      </c>
      <c r="T150" s="176">
        <f t="shared" si="275"/>
        <v>16</v>
      </c>
      <c r="U150" s="221">
        <f t="shared" si="276"/>
        <v>0.38228031953522151</v>
      </c>
      <c r="V150" s="221">
        <f t="shared" si="277"/>
        <v>0.95570079883805392</v>
      </c>
      <c r="W150" s="221">
        <f t="shared" si="278"/>
        <v>0.5856009796801801</v>
      </c>
      <c r="X150" s="201">
        <f t="shared" si="279"/>
        <v>350</v>
      </c>
      <c r="Y150" s="451">
        <f t="shared" si="215"/>
        <v>350</v>
      </c>
      <c r="AA150" s="221">
        <f t="shared" si="280"/>
        <v>0.70864090316977857</v>
      </c>
      <c r="AB150" s="177">
        <f t="shared" si="281"/>
        <v>1.0855405992184108</v>
      </c>
      <c r="AC150" s="177">
        <f t="shared" si="282"/>
        <v>0.16154427883809541</v>
      </c>
      <c r="AD150" s="177"/>
      <c r="AE150" s="177">
        <f t="shared" si="283"/>
        <v>0.4595588235294118</v>
      </c>
      <c r="AF150" s="555">
        <f t="shared" si="284"/>
        <v>967.11111111111131</v>
      </c>
      <c r="AG150" s="538">
        <f t="shared" si="285"/>
        <v>2.8952205882352939E-2</v>
      </c>
      <c r="AI150" s="177">
        <f t="shared" si="286"/>
        <v>0.49868398238334699</v>
      </c>
      <c r="AJ150" s="177">
        <f t="shared" si="287"/>
        <v>0.49868398238334699</v>
      </c>
      <c r="AK150" s="177">
        <f t="shared" si="288"/>
        <v>1.3324559882555647</v>
      </c>
      <c r="AM150" s="555">
        <f t="shared" si="289"/>
        <v>80.000000000000014</v>
      </c>
      <c r="AN150" s="469">
        <f t="shared" si="290"/>
        <v>350</v>
      </c>
      <c r="AP150" s="469">
        <f t="shared" si="291"/>
        <v>80.000000000000014</v>
      </c>
      <c r="AQ150" s="469">
        <f t="shared" si="292"/>
        <v>350</v>
      </c>
      <c r="AS150" s="5">
        <f t="shared" si="263"/>
        <v>2.8571428571428572</v>
      </c>
      <c r="AT150" s="5">
        <f t="shared" si="293"/>
        <v>1.2467099559583674</v>
      </c>
      <c r="AU150" s="5">
        <f t="shared" si="230"/>
        <v>1.6104329011844898</v>
      </c>
      <c r="AV150" s="5"/>
      <c r="AW150" s="177">
        <f t="shared" si="231"/>
        <v>0.43634848458542858</v>
      </c>
      <c r="AX150" s="177">
        <f t="shared" si="259"/>
        <v>1.3056000000000003</v>
      </c>
      <c r="AY150" s="177">
        <f t="shared" si="260"/>
        <v>0.16865038943000815</v>
      </c>
      <c r="AZ150" s="177">
        <f t="shared" si="264"/>
        <v>7.741458554661917</v>
      </c>
      <c r="BA150" s="469">
        <f t="shared" si="294"/>
        <v>8.6504050333139713</v>
      </c>
      <c r="BB150" s="469">
        <f t="shared" si="295"/>
        <v>0.99757066666666705</v>
      </c>
      <c r="BC150" s="5">
        <f t="shared" si="258"/>
        <v>0.11929132601366592</v>
      </c>
      <c r="BD150" s="469">
        <f t="shared" si="296"/>
        <v>19.442167717742105</v>
      </c>
      <c r="BF150" s="177">
        <f t="shared" si="265"/>
        <v>0.19018730641713563</v>
      </c>
      <c r="BG150" s="177">
        <f t="shared" si="261"/>
        <v>0.25938889387398034</v>
      </c>
      <c r="BI150" s="538">
        <f t="shared" si="236"/>
        <v>1.2659924032771903E-2</v>
      </c>
      <c r="BJ150" s="538">
        <f t="shared" si="237"/>
        <v>2.7563261074292352E-2</v>
      </c>
      <c r="BK150" s="538">
        <f t="shared" si="238"/>
        <v>4.3749999999999995E-3</v>
      </c>
      <c r="BL150" s="538">
        <f t="shared" si="239"/>
        <v>1.7457108480000001E-2</v>
      </c>
      <c r="BM150">
        <f t="shared" si="240"/>
        <v>3.48E-3</v>
      </c>
      <c r="BN150">
        <f t="shared" si="297"/>
        <v>6.1250000000000006E-6</v>
      </c>
      <c r="BO150" s="538">
        <f t="shared" si="298"/>
        <v>6.7407956870120189E-2</v>
      </c>
      <c r="BP150" s="469">
        <f t="shared" si="243"/>
        <v>65.53529358706426</v>
      </c>
      <c r="BQ150" s="538">
        <f t="shared" si="299"/>
        <v>5.6261952537293818E-2</v>
      </c>
      <c r="BT150" s="469">
        <f t="shared" si="245"/>
        <v>56.261952537293816</v>
      </c>
      <c r="BU150" s="538">
        <f t="shared" si="246"/>
        <v>3.6171211522205444E-3</v>
      </c>
      <c r="BV150" s="538">
        <f t="shared" si="247"/>
        <v>2.0184779479550112E-3</v>
      </c>
      <c r="BW150" s="538">
        <f t="shared" si="248"/>
        <v>0</v>
      </c>
      <c r="BX150" s="538"/>
      <c r="BY150" s="538">
        <f t="shared" si="249"/>
        <v>4.3520000000000008E-3</v>
      </c>
      <c r="BZ150" s="469">
        <f t="shared" si="250"/>
        <v>9.9875991001755544</v>
      </c>
      <c r="CA150" s="177">
        <f t="shared" si="251"/>
        <v>0.13178484522453363</v>
      </c>
      <c r="CB150" s="5">
        <f t="shared" si="252"/>
        <v>1.2800000000000002</v>
      </c>
      <c r="CC150" s="177">
        <f t="shared" si="253"/>
        <v>0.90665373291808204</v>
      </c>
      <c r="CD150" s="5">
        <f t="shared" si="254"/>
        <v>90.665373291808208</v>
      </c>
      <c r="CG150" s="571">
        <f t="shared" si="300"/>
        <v>-50</v>
      </c>
      <c r="CH150">
        <f t="shared" si="301"/>
        <v>-50</v>
      </c>
    </row>
    <row r="151" spans="5:86" x14ac:dyDescent="0.25">
      <c r="E151" s="174">
        <v>41</v>
      </c>
      <c r="F151" s="221">
        <f t="shared" si="302"/>
        <v>8.2000000000000003E-2</v>
      </c>
      <c r="G151" s="221"/>
      <c r="H151" s="221">
        <f t="shared" si="266"/>
        <v>1.3120000000000001</v>
      </c>
      <c r="I151" s="551">
        <f t="shared" si="267"/>
        <v>12</v>
      </c>
      <c r="J151" s="451">
        <f t="shared" si="268"/>
        <v>19.584</v>
      </c>
      <c r="K151" s="451">
        <f t="shared" si="269"/>
        <v>31.584</v>
      </c>
      <c r="L151" s="451"/>
      <c r="M151" s="221">
        <f t="shared" si="270"/>
        <v>0.62006079027355621</v>
      </c>
      <c r="N151" s="176">
        <f t="shared" si="271"/>
        <v>5.0626723404255323</v>
      </c>
      <c r="O151" s="176">
        <f t="shared" si="262"/>
        <v>1.3120000000000001</v>
      </c>
      <c r="P151" s="221">
        <f t="shared" si="272"/>
        <v>0.31641702127659577</v>
      </c>
      <c r="Q151" s="221">
        <f t="shared" si="273"/>
        <v>16</v>
      </c>
      <c r="R151" s="221"/>
      <c r="S151" s="176">
        <f t="shared" si="274"/>
        <v>88.816387846121842</v>
      </c>
      <c r="T151" s="176">
        <f t="shared" si="275"/>
        <v>16</v>
      </c>
      <c r="U151" s="221">
        <f t="shared" si="276"/>
        <v>0.39183732752360201</v>
      </c>
      <c r="V151" s="221">
        <f t="shared" si="277"/>
        <v>0.97959331880900502</v>
      </c>
      <c r="W151" s="221">
        <f t="shared" si="278"/>
        <v>0.6002410041721844</v>
      </c>
      <c r="X151" s="201">
        <f t="shared" si="279"/>
        <v>350</v>
      </c>
      <c r="Y151" s="451">
        <f t="shared" si="215"/>
        <v>350</v>
      </c>
      <c r="AA151" s="221">
        <f t="shared" si="280"/>
        <v>0.70864090316977857</v>
      </c>
      <c r="AB151" s="177">
        <f t="shared" si="281"/>
        <v>1.0855405992184108</v>
      </c>
      <c r="AC151" s="177">
        <f t="shared" si="282"/>
        <v>0.16154427883809541</v>
      </c>
      <c r="AD151" s="177"/>
      <c r="AE151" s="177">
        <f t="shared" si="283"/>
        <v>0.4595588235294118</v>
      </c>
      <c r="AF151" s="555">
        <f t="shared" si="284"/>
        <v>991.28888888888901</v>
      </c>
      <c r="AG151" s="538">
        <f t="shared" si="285"/>
        <v>2.8952205882352939E-2</v>
      </c>
      <c r="AI151" s="177">
        <f t="shared" si="286"/>
        <v>0.50487905199449223</v>
      </c>
      <c r="AJ151" s="177">
        <f t="shared" si="287"/>
        <v>0.50487905199449223</v>
      </c>
      <c r="AK151" s="177">
        <f t="shared" si="288"/>
        <v>1.3365860346629947</v>
      </c>
      <c r="AM151" s="555">
        <f t="shared" si="289"/>
        <v>82</v>
      </c>
      <c r="AN151" s="469">
        <f t="shared" si="290"/>
        <v>350</v>
      </c>
      <c r="AP151" s="469">
        <f t="shared" si="291"/>
        <v>82</v>
      </c>
      <c r="AQ151" s="469">
        <f t="shared" si="292"/>
        <v>350</v>
      </c>
      <c r="AS151" s="5">
        <f t="shared" si="263"/>
        <v>2.8571428571428572</v>
      </c>
      <c r="AT151" s="5">
        <f t="shared" si="293"/>
        <v>1.2621976299862308</v>
      </c>
      <c r="AU151" s="5">
        <f t="shared" si="230"/>
        <v>1.5949452271566265</v>
      </c>
      <c r="AV151" s="5"/>
      <c r="AW151" s="177">
        <f t="shared" si="231"/>
        <v>0.44176917049518077</v>
      </c>
      <c r="AX151" s="177">
        <f t="shared" si="259"/>
        <v>1.3382400000000003</v>
      </c>
      <c r="AY151" s="177">
        <f t="shared" si="260"/>
        <v>0.16910343119669533</v>
      </c>
      <c r="AZ151" s="177">
        <f t="shared" si="264"/>
        <v>7.9137365252122258</v>
      </c>
      <c r="BA151" s="469">
        <f t="shared" si="294"/>
        <v>8.6504050333139713</v>
      </c>
      <c r="BB151" s="469">
        <f t="shared" si="295"/>
        <v>1.0419226816666667</v>
      </c>
      <c r="BC151" s="5">
        <f t="shared" si="258"/>
        <v>0.12109769317300312</v>
      </c>
      <c r="BD151" s="469">
        <f t="shared" si="296"/>
        <v>19.740075352124943</v>
      </c>
      <c r="BF151" s="177">
        <f t="shared" si="265"/>
        <v>0.19374228909976571</v>
      </c>
      <c r="BG151" s="177">
        <f t="shared" si="261"/>
        <v>0.26134541133389488</v>
      </c>
      <c r="BI151" s="538">
        <f t="shared" si="236"/>
        <v>1.3137626104966018E-2</v>
      </c>
      <c r="BJ151" s="538">
        <f t="shared" si="237"/>
        <v>2.7905674961839579E-2</v>
      </c>
      <c r="BK151" s="538">
        <f t="shared" si="238"/>
        <v>4.3749999999999995E-3</v>
      </c>
      <c r="BL151" s="538">
        <f t="shared" si="239"/>
        <v>1.7457108480000001E-2</v>
      </c>
      <c r="BM151">
        <f t="shared" si="240"/>
        <v>3.48E-3</v>
      </c>
      <c r="BN151">
        <f t="shared" si="297"/>
        <v>6.1250000000000006E-6</v>
      </c>
      <c r="BO151" s="538">
        <f t="shared" si="298"/>
        <v>6.830066751367489E-2</v>
      </c>
      <c r="BP151" s="469">
        <f t="shared" si="243"/>
        <v>66.355409546805589</v>
      </c>
      <c r="BQ151" s="538">
        <f t="shared" si="299"/>
        <v>5.7415143977657998E-2</v>
      </c>
      <c r="BT151" s="469">
        <f t="shared" si="245"/>
        <v>57.415143977657998</v>
      </c>
      <c r="BU151" s="538">
        <f t="shared" si="246"/>
        <v>3.7536074585617198E-3</v>
      </c>
      <c r="BV151" s="538">
        <f t="shared" si="247"/>
        <v>2.0490427207584812E-3</v>
      </c>
      <c r="BW151" s="538">
        <f t="shared" si="248"/>
        <v>0</v>
      </c>
      <c r="BX151" s="538"/>
      <c r="BY151" s="538">
        <f t="shared" si="249"/>
        <v>4.4608000000000017E-3</v>
      </c>
      <c r="BZ151" s="469">
        <f t="shared" si="250"/>
        <v>10.263450179320202</v>
      </c>
      <c r="CA151" s="177">
        <f t="shared" si="251"/>
        <v>0.13403400370378379</v>
      </c>
      <c r="CB151" s="5">
        <f t="shared" si="252"/>
        <v>1.3120000000000001</v>
      </c>
      <c r="CC151" s="177">
        <f t="shared" si="253"/>
        <v>0.90730923106892569</v>
      </c>
      <c r="CD151" s="5">
        <f t="shared" si="254"/>
        <v>90.730923106892575</v>
      </c>
      <c r="CG151" s="571">
        <f t="shared" si="300"/>
        <v>-50</v>
      </c>
      <c r="CH151">
        <f t="shared" si="301"/>
        <v>-50</v>
      </c>
    </row>
    <row r="152" spans="5:86" x14ac:dyDescent="0.25">
      <c r="E152" s="174">
        <v>42</v>
      </c>
      <c r="F152" s="221">
        <f t="shared" si="302"/>
        <v>8.4000000000000005E-2</v>
      </c>
      <c r="G152" s="221"/>
      <c r="H152" s="221">
        <f t="shared" si="266"/>
        <v>1.3440000000000001</v>
      </c>
      <c r="I152" s="551">
        <f t="shared" si="267"/>
        <v>12</v>
      </c>
      <c r="J152" s="451">
        <f t="shared" si="268"/>
        <v>19.584</v>
      </c>
      <c r="K152" s="451">
        <f t="shared" si="269"/>
        <v>31.584</v>
      </c>
      <c r="L152" s="451"/>
      <c r="M152" s="221">
        <f t="shared" si="270"/>
        <v>0.62006079027355621</v>
      </c>
      <c r="N152" s="176">
        <f t="shared" si="271"/>
        <v>5.0626723404255323</v>
      </c>
      <c r="O152" s="176">
        <f t="shared" si="262"/>
        <v>1.3440000000000001</v>
      </c>
      <c r="P152" s="221">
        <f t="shared" si="272"/>
        <v>0.31641702127659577</v>
      </c>
      <c r="Q152" s="221">
        <f t="shared" si="273"/>
        <v>16</v>
      </c>
      <c r="R152" s="221"/>
      <c r="S152" s="176">
        <f t="shared" si="274"/>
        <v>86.465443971403076</v>
      </c>
      <c r="T152" s="176">
        <f t="shared" si="275"/>
        <v>16</v>
      </c>
      <c r="U152" s="221">
        <f t="shared" si="276"/>
        <v>0.40139433551198256</v>
      </c>
      <c r="V152" s="221">
        <f t="shared" si="277"/>
        <v>1.0034858387799566</v>
      </c>
      <c r="W152" s="221">
        <f t="shared" si="278"/>
        <v>0.61488102866418892</v>
      </c>
      <c r="X152" s="201">
        <f t="shared" si="279"/>
        <v>350</v>
      </c>
      <c r="Y152" s="451">
        <f t="shared" si="215"/>
        <v>350</v>
      </c>
      <c r="AA152" s="221">
        <f t="shared" si="280"/>
        <v>0.70864090316977857</v>
      </c>
      <c r="AB152" s="177">
        <f t="shared" si="281"/>
        <v>1.0855405992184108</v>
      </c>
      <c r="AC152" s="177">
        <f t="shared" si="282"/>
        <v>0.16154427883809541</v>
      </c>
      <c r="AD152" s="177"/>
      <c r="AE152" s="177">
        <f t="shared" si="283"/>
        <v>0.4595588235294118</v>
      </c>
      <c r="AF152" s="555">
        <f t="shared" si="284"/>
        <v>1015.4666666666668</v>
      </c>
      <c r="AG152" s="538">
        <f t="shared" si="285"/>
        <v>2.8952205882352939E-2</v>
      </c>
      <c r="AI152" s="177">
        <f t="shared" si="286"/>
        <v>0.51099902152548204</v>
      </c>
      <c r="AJ152" s="177">
        <f t="shared" si="287"/>
        <v>0.51099902152548204</v>
      </c>
      <c r="AK152" s="177">
        <f t="shared" si="288"/>
        <v>1.3406660143503213</v>
      </c>
      <c r="AM152" s="555">
        <f t="shared" si="289"/>
        <v>84</v>
      </c>
      <c r="AN152" s="469">
        <f t="shared" si="290"/>
        <v>350</v>
      </c>
      <c r="AP152" s="469">
        <f t="shared" si="291"/>
        <v>84</v>
      </c>
      <c r="AQ152" s="469">
        <f t="shared" si="292"/>
        <v>350</v>
      </c>
      <c r="AS152" s="5">
        <f t="shared" si="263"/>
        <v>2.8571428571428572</v>
      </c>
      <c r="AT152" s="5">
        <f t="shared" si="293"/>
        <v>1.2774975538137054</v>
      </c>
      <c r="AU152" s="5">
        <f t="shared" si="230"/>
        <v>1.5796453033291518</v>
      </c>
      <c r="AV152" s="5"/>
      <c r="AW152" s="177">
        <f t="shared" si="231"/>
        <v>0.44712414383479687</v>
      </c>
      <c r="AX152" s="177">
        <f t="shared" si="259"/>
        <v>1.3708800000000003</v>
      </c>
      <c r="AY152" s="177">
        <f t="shared" si="260"/>
        <v>0.16951141291528918</v>
      </c>
      <c r="AZ152" s="177">
        <f t="shared" si="264"/>
        <v>8.0872430736275991</v>
      </c>
      <c r="BA152" s="469">
        <f t="shared" si="294"/>
        <v>8.6504050333139713</v>
      </c>
      <c r="BB152" s="469">
        <f t="shared" si="295"/>
        <v>1.08722166</v>
      </c>
      <c r="BC152" s="5">
        <f t="shared" si="258"/>
        <v>0.12286130137004514</v>
      </c>
      <c r="BD152" s="469">
        <f t="shared" si="296"/>
        <v>20.031141552540554</v>
      </c>
      <c r="BF152" s="177">
        <f t="shared" si="265"/>
        <v>0.19727565860840696</v>
      </c>
      <c r="BG152" s="177">
        <f t="shared" si="261"/>
        <v>0.26324158658861591</v>
      </c>
      <c r="BI152" s="538">
        <f t="shared" si="236"/>
        <v>1.3621189917783254E-2</v>
      </c>
      <c r="BJ152" s="538">
        <f t="shared" si="237"/>
        <v>2.8243937917756444E-2</v>
      </c>
      <c r="BK152" s="538">
        <f t="shared" si="238"/>
        <v>4.3749999999999995E-3</v>
      </c>
      <c r="BL152" s="538">
        <f t="shared" si="239"/>
        <v>1.7457108480000001E-2</v>
      </c>
      <c r="BM152">
        <f t="shared" si="240"/>
        <v>3.48E-3</v>
      </c>
      <c r="BN152">
        <f t="shared" si="297"/>
        <v>6.1250000000000006E-6</v>
      </c>
      <c r="BO152" s="538">
        <f t="shared" si="298"/>
        <v>6.919611938217908E-2</v>
      </c>
      <c r="BP152" s="469">
        <f t="shared" si="243"/>
        <v>67.177236315539687</v>
      </c>
      <c r="BQ152" s="538">
        <f t="shared" si="299"/>
        <v>5.8559122771502256E-2</v>
      </c>
      <c r="BT152" s="469">
        <f t="shared" si="245"/>
        <v>58.559122771502253</v>
      </c>
      <c r="BU152" s="538">
        <f t="shared" si="246"/>
        <v>3.8917685479380733E-3</v>
      </c>
      <c r="BV152" s="538">
        <f t="shared" si="247"/>
        <v>2.0788839872907527E-3</v>
      </c>
      <c r="BW152" s="538">
        <f t="shared" si="248"/>
        <v>0</v>
      </c>
      <c r="BX152" s="538"/>
      <c r="BY152" s="538">
        <f t="shared" si="249"/>
        <v>4.5696000000000018E-3</v>
      </c>
      <c r="BZ152" s="469">
        <f t="shared" si="250"/>
        <v>10.540252535228829</v>
      </c>
      <c r="CA152" s="177">
        <f t="shared" si="251"/>
        <v>0.13627661162227078</v>
      </c>
      <c r="CB152" s="5">
        <f t="shared" si="252"/>
        <v>1.3440000000000001</v>
      </c>
      <c r="CC152" s="177">
        <f t="shared" si="253"/>
        <v>0.90793841465013625</v>
      </c>
      <c r="CD152" s="5">
        <f t="shared" si="254"/>
        <v>90.793841465013628</v>
      </c>
      <c r="CG152" s="571">
        <f t="shared" si="300"/>
        <v>-50</v>
      </c>
      <c r="CH152">
        <f t="shared" si="301"/>
        <v>-50</v>
      </c>
    </row>
    <row r="153" spans="5:86" x14ac:dyDescent="0.25">
      <c r="E153" s="174">
        <v>43</v>
      </c>
      <c r="F153" s="221">
        <f t="shared" si="302"/>
        <v>8.6000000000000007E-2</v>
      </c>
      <c r="G153" s="221"/>
      <c r="H153" s="221">
        <f t="shared" si="266"/>
        <v>1.3760000000000001</v>
      </c>
      <c r="I153" s="551">
        <f t="shared" si="267"/>
        <v>12</v>
      </c>
      <c r="J153" s="451">
        <f t="shared" si="268"/>
        <v>19.584</v>
      </c>
      <c r="K153" s="451">
        <f t="shared" si="269"/>
        <v>31.584</v>
      </c>
      <c r="L153" s="451"/>
      <c r="M153" s="221">
        <f t="shared" si="270"/>
        <v>0.62006079027355621</v>
      </c>
      <c r="N153" s="176">
        <f t="shared" si="271"/>
        <v>5.0626723404255323</v>
      </c>
      <c r="O153" s="176">
        <f t="shared" si="262"/>
        <v>1.3760000000000001</v>
      </c>
      <c r="P153" s="221">
        <f t="shared" si="272"/>
        <v>0.31641702127659577</v>
      </c>
      <c r="Q153" s="221">
        <f t="shared" si="273"/>
        <v>16</v>
      </c>
      <c r="R153" s="221"/>
      <c r="S153" s="176">
        <f t="shared" si="274"/>
        <v>84.223896671438197</v>
      </c>
      <c r="T153" s="176">
        <f t="shared" si="275"/>
        <v>16</v>
      </c>
      <c r="U153" s="221">
        <f t="shared" si="276"/>
        <v>0.41095134350036311</v>
      </c>
      <c r="V153" s="221">
        <f t="shared" si="277"/>
        <v>1.0273783587509078</v>
      </c>
      <c r="W153" s="221">
        <f t="shared" si="278"/>
        <v>0.62952105315619356</v>
      </c>
      <c r="X153" s="201">
        <f t="shared" si="279"/>
        <v>350</v>
      </c>
      <c r="Y153" s="451">
        <f t="shared" si="215"/>
        <v>350</v>
      </c>
      <c r="AA153" s="221">
        <f t="shared" si="280"/>
        <v>0.70864090316977857</v>
      </c>
      <c r="AB153" s="177">
        <f t="shared" si="281"/>
        <v>1.0855405992184108</v>
      </c>
      <c r="AC153" s="177">
        <f t="shared" si="282"/>
        <v>0.16154427883809541</v>
      </c>
      <c r="AD153" s="177"/>
      <c r="AE153" s="177">
        <f t="shared" si="283"/>
        <v>0.4595588235294118</v>
      </c>
      <c r="AF153" s="555">
        <f t="shared" si="284"/>
        <v>1039.6444444444446</v>
      </c>
      <c r="AG153" s="538">
        <f t="shared" si="285"/>
        <v>2.8952205882352939E-2</v>
      </c>
      <c r="AI153" s="177">
        <f t="shared" si="286"/>
        <v>0.51704655772680941</v>
      </c>
      <c r="AJ153" s="177">
        <f t="shared" si="287"/>
        <v>0.51704655772680941</v>
      </c>
      <c r="AK153" s="177">
        <f t="shared" si="288"/>
        <v>1.3446977051512063</v>
      </c>
      <c r="AM153" s="555">
        <f t="shared" si="289"/>
        <v>86</v>
      </c>
      <c r="AN153" s="469">
        <f t="shared" si="290"/>
        <v>350</v>
      </c>
      <c r="AP153" s="469">
        <f t="shared" si="291"/>
        <v>86</v>
      </c>
      <c r="AQ153" s="469">
        <f t="shared" si="292"/>
        <v>350</v>
      </c>
      <c r="AS153" s="5">
        <f t="shared" si="263"/>
        <v>2.8571428571428572</v>
      </c>
      <c r="AT153" s="5">
        <f t="shared" si="293"/>
        <v>1.2926163943170235</v>
      </c>
      <c r="AU153" s="5">
        <f t="shared" si="230"/>
        <v>1.5645264628258337</v>
      </c>
      <c r="AV153" s="5"/>
      <c r="AW153" s="177">
        <f t="shared" si="231"/>
        <v>0.45241573801095819</v>
      </c>
      <c r="AX153" s="177">
        <f t="shared" si="259"/>
        <v>1.4035199999999999</v>
      </c>
      <c r="AY153" s="177">
        <f t="shared" si="260"/>
        <v>0.16987593463608566</v>
      </c>
      <c r="AZ153" s="177">
        <f t="shared" si="264"/>
        <v>8.262029598286956</v>
      </c>
      <c r="BA153" s="469">
        <f t="shared" si="294"/>
        <v>8.6504050333139713</v>
      </c>
      <c r="BB153" s="469">
        <f t="shared" si="295"/>
        <v>1.1334676016666667</v>
      </c>
      <c r="BC153" s="5">
        <f t="shared" si="258"/>
        <v>0.12458266278057566</v>
      </c>
      <c r="BD153" s="469">
        <f t="shared" si="296"/>
        <v>20.315448267114327</v>
      </c>
      <c r="BF153" s="177">
        <f t="shared" si="265"/>
        <v>0.2007880564039731</v>
      </c>
      <c r="BG153" s="177">
        <f t="shared" si="261"/>
        <v>0.26507925945907207</v>
      </c>
      <c r="BI153" s="538">
        <f t="shared" si="236"/>
        <v>1.4110545258069778E-2</v>
      </c>
      <c r="BJ153" s="538">
        <f t="shared" si="237"/>
        <v>2.8578197338676212E-2</v>
      </c>
      <c r="BK153" s="538">
        <f t="shared" si="238"/>
        <v>4.3749999999999995E-3</v>
      </c>
      <c r="BL153" s="538">
        <f t="shared" si="239"/>
        <v>1.7457108480000001E-2</v>
      </c>
      <c r="BM153">
        <f t="shared" si="240"/>
        <v>3.48E-3</v>
      </c>
      <c r="BN153">
        <f t="shared" si="297"/>
        <v>6.1250000000000006E-6</v>
      </c>
      <c r="BO153" s="538">
        <f t="shared" si="298"/>
        <v>7.0094383095127971E-2</v>
      </c>
      <c r="BP153" s="469">
        <f t="shared" si="243"/>
        <v>68.000851076745988</v>
      </c>
      <c r="BQ153" s="538">
        <f t="shared" si="299"/>
        <v>5.969399926983137E-2</v>
      </c>
      <c r="BT153" s="469">
        <f t="shared" si="245"/>
        <v>59.693999269831373</v>
      </c>
      <c r="BU153" s="538">
        <f t="shared" si="246"/>
        <v>4.0315843594485087E-3</v>
      </c>
      <c r="BV153" s="538">
        <f t="shared" si="247"/>
        <v>2.1080104138611016E-3</v>
      </c>
      <c r="BW153" s="538">
        <f t="shared" si="248"/>
        <v>0</v>
      </c>
      <c r="BX153" s="538"/>
      <c r="BY153" s="538">
        <f t="shared" si="249"/>
        <v>4.6784000000000001E-3</v>
      </c>
      <c r="BZ153" s="469">
        <f t="shared" si="250"/>
        <v>10.817994773309612</v>
      </c>
      <c r="CA153" s="177">
        <f t="shared" si="251"/>
        <v>0.13851284511988696</v>
      </c>
      <c r="CB153" s="5">
        <f t="shared" si="252"/>
        <v>1.3760000000000001</v>
      </c>
      <c r="CC153" s="177">
        <f t="shared" si="253"/>
        <v>0.90854297105091741</v>
      </c>
      <c r="CD153" s="5">
        <f t="shared" si="254"/>
        <v>90.854297105091746</v>
      </c>
      <c r="CG153" s="571">
        <f t="shared" si="300"/>
        <v>-50</v>
      </c>
      <c r="CH153">
        <f t="shared" si="301"/>
        <v>-50</v>
      </c>
    </row>
    <row r="154" spans="5:86" x14ac:dyDescent="0.25">
      <c r="E154" s="174">
        <v>44</v>
      </c>
      <c r="F154" s="221">
        <f t="shared" si="302"/>
        <v>8.8000000000000009E-2</v>
      </c>
      <c r="G154" s="221"/>
      <c r="H154" s="221">
        <f t="shared" si="266"/>
        <v>1.4080000000000001</v>
      </c>
      <c r="I154" s="551">
        <f t="shared" si="267"/>
        <v>12</v>
      </c>
      <c r="J154" s="451">
        <f t="shared" si="268"/>
        <v>19.584</v>
      </c>
      <c r="K154" s="451">
        <f t="shared" si="269"/>
        <v>31.584</v>
      </c>
      <c r="L154" s="451"/>
      <c r="M154" s="221">
        <f t="shared" si="270"/>
        <v>0.62006079027355621</v>
      </c>
      <c r="N154" s="176">
        <f t="shared" si="271"/>
        <v>5.0626723404255323</v>
      </c>
      <c r="O154" s="176">
        <f t="shared" si="262"/>
        <v>1.4080000000000001</v>
      </c>
      <c r="P154" s="221">
        <f t="shared" si="272"/>
        <v>0.31641702127659577</v>
      </c>
      <c r="Q154" s="221">
        <f t="shared" si="273"/>
        <v>16</v>
      </c>
      <c r="R154" s="221"/>
      <c r="S154" s="176">
        <f t="shared" si="274"/>
        <v>82.084287476337153</v>
      </c>
      <c r="T154" s="176">
        <f t="shared" si="275"/>
        <v>16</v>
      </c>
      <c r="U154" s="221">
        <f t="shared" si="276"/>
        <v>0.42050835148874366</v>
      </c>
      <c r="V154" s="221">
        <f t="shared" si="277"/>
        <v>1.051270878721859</v>
      </c>
      <c r="W154" s="221">
        <f t="shared" si="278"/>
        <v>0.64416107764819808</v>
      </c>
      <c r="X154" s="201">
        <f t="shared" si="279"/>
        <v>350</v>
      </c>
      <c r="Y154" s="451">
        <f t="shared" si="215"/>
        <v>350</v>
      </c>
      <c r="AA154" s="221">
        <f t="shared" si="280"/>
        <v>0.70864090316977857</v>
      </c>
      <c r="AB154" s="177">
        <f t="shared" si="281"/>
        <v>1.0855405992184108</v>
      </c>
      <c r="AC154" s="177">
        <f t="shared" si="282"/>
        <v>0.16154427883809541</v>
      </c>
      <c r="AD154" s="177"/>
      <c r="AE154" s="177">
        <f t="shared" si="283"/>
        <v>0.4595588235294118</v>
      </c>
      <c r="AF154" s="555">
        <f t="shared" si="284"/>
        <v>1063.8222222222225</v>
      </c>
      <c r="AG154" s="538">
        <f t="shared" si="285"/>
        <v>2.8952205882352939E-2</v>
      </c>
      <c r="AI154" s="177">
        <f t="shared" si="286"/>
        <v>0.52302417316438232</v>
      </c>
      <c r="AJ154" s="177">
        <f t="shared" si="287"/>
        <v>0.52302417316438232</v>
      </c>
      <c r="AK154" s="177">
        <f t="shared" si="288"/>
        <v>1.3486827821095881</v>
      </c>
      <c r="AM154" s="555">
        <f t="shared" si="289"/>
        <v>88.000000000000014</v>
      </c>
      <c r="AN154" s="469">
        <f t="shared" si="290"/>
        <v>350</v>
      </c>
      <c r="AP154" s="469">
        <f t="shared" si="291"/>
        <v>88.000000000000014</v>
      </c>
      <c r="AQ154" s="469">
        <f t="shared" si="292"/>
        <v>350</v>
      </c>
      <c r="AS154" s="5">
        <f t="shared" si="263"/>
        <v>2.8571428571428572</v>
      </c>
      <c r="AT154" s="5">
        <f t="shared" si="293"/>
        <v>1.3075604329109558</v>
      </c>
      <c r="AU154" s="5">
        <f t="shared" si="230"/>
        <v>1.5495824242319014</v>
      </c>
      <c r="AV154" s="5"/>
      <c r="AW154" s="177">
        <f t="shared" si="231"/>
        <v>0.45764615151883453</v>
      </c>
      <c r="AX154" s="177">
        <f t="shared" si="259"/>
        <v>1.4361600000000003</v>
      </c>
      <c r="AY154" s="177">
        <f t="shared" si="260"/>
        <v>0.17019850389862931</v>
      </c>
      <c r="AZ154" s="177">
        <f t="shared" si="264"/>
        <v>8.438147028926771</v>
      </c>
      <c r="BA154" s="469">
        <f t="shared" si="294"/>
        <v>8.6504050333139713</v>
      </c>
      <c r="BB154" s="469">
        <f t="shared" si="295"/>
        <v>1.1806605066666667</v>
      </c>
      <c r="BC154" s="5">
        <f t="shared" si="258"/>
        <v>0.12626227160408085</v>
      </c>
      <c r="BD154" s="469">
        <f t="shared" si="296"/>
        <v>20.593074567764049</v>
      </c>
      <c r="BF154" s="177">
        <f t="shared" si="265"/>
        <v>0.20428009047108711</v>
      </c>
      <c r="BG154" s="177">
        <f t="shared" si="261"/>
        <v>0.26686016079646729</v>
      </c>
      <c r="BI154" s="538">
        <f t="shared" si="236"/>
        <v>1.4605624377006436E-2</v>
      </c>
      <c r="BJ154" s="538">
        <f t="shared" si="237"/>
        <v>2.890859209914174E-2</v>
      </c>
      <c r="BK154" s="538">
        <f t="shared" si="238"/>
        <v>4.3749999999999995E-3</v>
      </c>
      <c r="BL154" s="538">
        <f t="shared" si="239"/>
        <v>1.7457108480000001E-2</v>
      </c>
      <c r="BM154">
        <f t="shared" si="240"/>
        <v>3.48E-3</v>
      </c>
      <c r="BN154">
        <f t="shared" si="297"/>
        <v>6.1250000000000006E-6</v>
      </c>
      <c r="BO154" s="538">
        <f t="shared" si="298"/>
        <v>7.0995523560741E-2</v>
      </c>
      <c r="BP154" s="469">
        <f t="shared" si="243"/>
        <v>68.82632495614817</v>
      </c>
      <c r="BQ154" s="538">
        <f t="shared" si="299"/>
        <v>6.0819879950560859E-2</v>
      </c>
      <c r="BT154" s="469">
        <f t="shared" si="245"/>
        <v>60.81987995056086</v>
      </c>
      <c r="BU154" s="538">
        <f t="shared" si="246"/>
        <v>4.1730355362875537E-3</v>
      </c>
      <c r="BV154" s="538">
        <f t="shared" si="247"/>
        <v>2.1364303626094914E-3</v>
      </c>
      <c r="BW154" s="538">
        <f t="shared" si="248"/>
        <v>0</v>
      </c>
      <c r="BX154" s="538"/>
      <c r="BY154" s="538">
        <f t="shared" si="249"/>
        <v>4.7872000000000019E-3</v>
      </c>
      <c r="BZ154" s="469">
        <f t="shared" si="250"/>
        <v>11.096665898897047</v>
      </c>
      <c r="CA154" s="177">
        <f t="shared" si="251"/>
        <v>0.14074287080560607</v>
      </c>
      <c r="CB154" s="5">
        <f t="shared" si="252"/>
        <v>1.4080000000000001</v>
      </c>
      <c r="CC154" s="177">
        <f t="shared" si="253"/>
        <v>0.90912444314762453</v>
      </c>
      <c r="CD154" s="5">
        <f t="shared" si="254"/>
        <v>90.912444314762453</v>
      </c>
      <c r="CG154" s="571">
        <f t="shared" si="300"/>
        <v>-50</v>
      </c>
      <c r="CH154">
        <f t="shared" si="301"/>
        <v>-50</v>
      </c>
    </row>
    <row r="155" spans="5:86" x14ac:dyDescent="0.25">
      <c r="E155" s="174">
        <v>45</v>
      </c>
      <c r="F155" s="221">
        <f t="shared" si="302"/>
        <v>9.0000000000000011E-2</v>
      </c>
      <c r="G155" s="221"/>
      <c r="H155" s="221">
        <f t="shared" si="266"/>
        <v>1.4400000000000002</v>
      </c>
      <c r="I155" s="551">
        <f t="shared" si="267"/>
        <v>12</v>
      </c>
      <c r="J155" s="451">
        <f t="shared" si="268"/>
        <v>19.584</v>
      </c>
      <c r="K155" s="451">
        <f t="shared" si="269"/>
        <v>31.584</v>
      </c>
      <c r="L155" s="451"/>
      <c r="M155" s="221">
        <f t="shared" si="270"/>
        <v>0.62006079027355621</v>
      </c>
      <c r="N155" s="176">
        <f t="shared" si="271"/>
        <v>5.0626723404255323</v>
      </c>
      <c r="O155" s="176">
        <f t="shared" si="262"/>
        <v>1.4400000000000002</v>
      </c>
      <c r="P155" s="221">
        <f t="shared" si="272"/>
        <v>0.31641702127659577</v>
      </c>
      <c r="Q155" s="221">
        <f t="shared" si="273"/>
        <v>16</v>
      </c>
      <c r="R155" s="221"/>
      <c r="S155" s="176">
        <f t="shared" si="274"/>
        <v>80.039820895123398</v>
      </c>
      <c r="T155" s="176">
        <f t="shared" si="275"/>
        <v>16</v>
      </c>
      <c r="U155" s="221">
        <f t="shared" si="276"/>
        <v>0.43006535947712421</v>
      </c>
      <c r="V155" s="221">
        <f t="shared" si="277"/>
        <v>1.0751633986928106</v>
      </c>
      <c r="W155" s="221">
        <f t="shared" si="278"/>
        <v>0.6588011021402026</v>
      </c>
      <c r="X155" s="201">
        <f t="shared" si="279"/>
        <v>350</v>
      </c>
      <c r="Y155" s="451">
        <f t="shared" si="215"/>
        <v>350</v>
      </c>
      <c r="AA155" s="221">
        <f t="shared" si="280"/>
        <v>0.70864090316977857</v>
      </c>
      <c r="AB155" s="177">
        <f t="shared" si="281"/>
        <v>1.0855405992184108</v>
      </c>
      <c r="AC155" s="177">
        <f t="shared" si="282"/>
        <v>0.16154427883809541</v>
      </c>
      <c r="AD155" s="177"/>
      <c r="AE155" s="177">
        <f t="shared" si="283"/>
        <v>0.4595588235294118</v>
      </c>
      <c r="AF155" s="555">
        <f t="shared" si="284"/>
        <v>1088.0000000000002</v>
      </c>
      <c r="AG155" s="538">
        <f t="shared" si="285"/>
        <v>2.8952205882352939E-2</v>
      </c>
      <c r="AI155" s="177">
        <f t="shared" si="286"/>
        <v>0.52893423841856613</v>
      </c>
      <c r="AJ155" s="177">
        <f t="shared" si="287"/>
        <v>0.52893423841856613</v>
      </c>
      <c r="AK155" s="177">
        <f t="shared" si="288"/>
        <v>1.3526228256123773</v>
      </c>
      <c r="AM155" s="555">
        <f t="shared" si="289"/>
        <v>90.000000000000014</v>
      </c>
      <c r="AN155" s="469">
        <f t="shared" si="290"/>
        <v>350</v>
      </c>
      <c r="AP155" s="469">
        <f t="shared" si="291"/>
        <v>90.000000000000014</v>
      </c>
      <c r="AQ155" s="469">
        <f t="shared" si="292"/>
        <v>350</v>
      </c>
      <c r="AS155" s="5">
        <f t="shared" si="263"/>
        <v>2.8571428571428572</v>
      </c>
      <c r="AT155" s="5">
        <f t="shared" si="293"/>
        <v>1.3223355960464154</v>
      </c>
      <c r="AU155" s="5">
        <f t="shared" si="230"/>
        <v>1.5348072610964418</v>
      </c>
      <c r="AV155" s="5"/>
      <c r="AW155" s="177">
        <f t="shared" si="231"/>
        <v>0.46281745861624535</v>
      </c>
      <c r="AX155" s="177">
        <f t="shared" si="259"/>
        <v>1.4687999999999999</v>
      </c>
      <c r="AY155" s="177">
        <f t="shared" si="260"/>
        <v>0.17048054305113966</v>
      </c>
      <c r="AZ155" s="177">
        <f t="shared" si="264"/>
        <v>8.6156459482851293</v>
      </c>
      <c r="BA155" s="469">
        <f t="shared" si="294"/>
        <v>8.6504050333139713</v>
      </c>
      <c r="BB155" s="469">
        <f t="shared" si="295"/>
        <v>1.2288003750000001</v>
      </c>
      <c r="BC155" s="5">
        <f t="shared" si="258"/>
        <v>0.12790060509137013</v>
      </c>
      <c r="BD155" s="469">
        <f t="shared" si="296"/>
        <v>20.864096814619224</v>
      </c>
      <c r="BF155" s="177">
        <f t="shared" si="265"/>
        <v>0.20775233778457222</v>
      </c>
      <c r="BG155" s="177">
        <f t="shared" si="261"/>
        <v>0.268585921006948</v>
      </c>
      <c r="BI155" s="538">
        <f t="shared" si="236"/>
        <v>1.5106361849234248E-2</v>
      </c>
      <c r="BJ155" s="538">
        <f t="shared" si="237"/>
        <v>2.9235253225870991E-2</v>
      </c>
      <c r="BK155" s="538">
        <f t="shared" si="238"/>
        <v>4.3749999999999995E-3</v>
      </c>
      <c r="BL155" s="538">
        <f t="shared" si="239"/>
        <v>1.7457108480000001E-2</v>
      </c>
      <c r="BM155">
        <f t="shared" si="240"/>
        <v>3.48E-3</v>
      </c>
      <c r="BN155">
        <f t="shared" si="297"/>
        <v>6.1250000000000006E-6</v>
      </c>
      <c r="BO155" s="538">
        <f t="shared" si="298"/>
        <v>7.1899600489696305E-2</v>
      </c>
      <c r="BP155" s="469">
        <f t="shared" si="243"/>
        <v>69.653723555105245</v>
      </c>
      <c r="BQ155" s="538">
        <f t="shared" si="299"/>
        <v>6.193686763992351E-2</v>
      </c>
      <c r="BT155" s="469">
        <f t="shared" si="245"/>
        <v>61.936867639923513</v>
      </c>
      <c r="BU155" s="538">
        <f t="shared" si="246"/>
        <v>4.3161033854955001E-3</v>
      </c>
      <c r="BV155" s="538">
        <f t="shared" si="247"/>
        <v>2.1641519088945152E-3</v>
      </c>
      <c r="BW155" s="538">
        <f t="shared" si="248"/>
        <v>0</v>
      </c>
      <c r="BX155" s="538"/>
      <c r="BY155" s="538">
        <f t="shared" si="249"/>
        <v>4.8960000000000002E-3</v>
      </c>
      <c r="BZ155" s="469">
        <f t="shared" si="250"/>
        <v>11.376255294390013</v>
      </c>
      <c r="CA155" s="177">
        <f t="shared" si="251"/>
        <v>0.14296684648941879</v>
      </c>
      <c r="CB155" s="5">
        <f t="shared" si="252"/>
        <v>1.4400000000000002</v>
      </c>
      <c r="CC155" s="177">
        <f t="shared" si="253"/>
        <v>0.9096842446154324</v>
      </c>
      <c r="CD155" s="5">
        <f t="shared" si="254"/>
        <v>90.968424461543236</v>
      </c>
      <c r="CG155" s="571">
        <f t="shared" si="300"/>
        <v>-50</v>
      </c>
      <c r="CH155">
        <f t="shared" si="301"/>
        <v>-50</v>
      </c>
    </row>
    <row r="156" spans="5:86" s="77" customFormat="1" x14ac:dyDescent="0.25">
      <c r="E156" s="193">
        <v>46</v>
      </c>
      <c r="F156" s="333">
        <f t="shared" si="302"/>
        <v>9.2000000000000012E-2</v>
      </c>
      <c r="G156" s="333"/>
      <c r="H156" s="333">
        <f t="shared" si="266"/>
        <v>1.4720000000000002</v>
      </c>
      <c r="I156" s="551">
        <f t="shared" si="267"/>
        <v>12</v>
      </c>
      <c r="J156" s="451">
        <f t="shared" si="268"/>
        <v>19.584</v>
      </c>
      <c r="K156" s="545">
        <f t="shared" si="269"/>
        <v>31.584</v>
      </c>
      <c r="L156" s="545"/>
      <c r="M156" s="333">
        <f t="shared" si="270"/>
        <v>0.62006079027355621</v>
      </c>
      <c r="N156" s="176">
        <f t="shared" si="271"/>
        <v>5.0626723404255323</v>
      </c>
      <c r="O156" s="176">
        <f t="shared" si="262"/>
        <v>1.4720000000000002</v>
      </c>
      <c r="P156" s="333">
        <f t="shared" si="272"/>
        <v>0.31641702127659577</v>
      </c>
      <c r="Q156" s="333">
        <f t="shared" si="273"/>
        <v>16</v>
      </c>
      <c r="R156" s="333"/>
      <c r="S156" s="176">
        <f t="shared" si="274"/>
        <v>78.084292352853183</v>
      </c>
      <c r="T156" s="176">
        <f t="shared" si="275"/>
        <v>16</v>
      </c>
      <c r="U156" s="221">
        <f t="shared" si="276"/>
        <v>0.43962236746550476</v>
      </c>
      <c r="V156" s="333">
        <f t="shared" si="277"/>
        <v>1.0990559186637618</v>
      </c>
      <c r="W156" s="333">
        <f t="shared" si="278"/>
        <v>0.67344112663220701</v>
      </c>
      <c r="X156" s="547">
        <f t="shared" si="279"/>
        <v>350</v>
      </c>
      <c r="Y156" s="545">
        <f t="shared" si="215"/>
        <v>350</v>
      </c>
      <c r="AA156" s="333">
        <f t="shared" si="280"/>
        <v>0.70864090316977857</v>
      </c>
      <c r="AB156" s="548">
        <f t="shared" si="281"/>
        <v>1.0855405992184108</v>
      </c>
      <c r="AC156" s="548">
        <f t="shared" si="282"/>
        <v>0.16154427883809541</v>
      </c>
      <c r="AD156" s="548"/>
      <c r="AE156" s="548">
        <f t="shared" si="283"/>
        <v>0.4595588235294118</v>
      </c>
      <c r="AF156" s="555">
        <f t="shared" si="284"/>
        <v>1112.1777777777779</v>
      </c>
      <c r="AG156" s="590">
        <f t="shared" si="285"/>
        <v>2.8952205882352939E-2</v>
      </c>
      <c r="AI156" s="548">
        <f t="shared" si="286"/>
        <v>0.53477899306963383</v>
      </c>
      <c r="AJ156" s="548">
        <f t="shared" si="287"/>
        <v>0.53477899306963383</v>
      </c>
      <c r="AK156" s="177">
        <f t="shared" si="288"/>
        <v>1.3565193287130892</v>
      </c>
      <c r="AM156" s="573">
        <f t="shared" si="289"/>
        <v>92.000000000000014</v>
      </c>
      <c r="AN156" s="574">
        <f t="shared" si="290"/>
        <v>350</v>
      </c>
      <c r="AP156" s="77">
        <f t="shared" si="291"/>
        <v>92.000000000000014</v>
      </c>
      <c r="AQ156" s="77">
        <f t="shared" si="292"/>
        <v>350</v>
      </c>
      <c r="AS156" s="544">
        <f t="shared" si="263"/>
        <v>2.8571428571428572</v>
      </c>
      <c r="AT156" s="5">
        <f t="shared" si="293"/>
        <v>1.3369474826740846</v>
      </c>
      <c r="AU156" s="5">
        <f t="shared" si="230"/>
        <v>1.5201953744687726</v>
      </c>
      <c r="AV156" s="5"/>
      <c r="AW156" s="177">
        <f t="shared" si="231"/>
        <v>0.46793161893592961</v>
      </c>
      <c r="AX156" s="177">
        <f t="shared" si="259"/>
        <v>1.5014400000000001</v>
      </c>
      <c r="AY156" s="177">
        <f t="shared" si="260"/>
        <v>0.17072339584178028</v>
      </c>
      <c r="AZ156" s="177">
        <f t="shared" si="264"/>
        <v>8.7945767045980947</v>
      </c>
      <c r="BA156" s="469">
        <f t="shared" si="294"/>
        <v>8.6504050333139713</v>
      </c>
      <c r="BB156" s="469">
        <f t="shared" si="295"/>
        <v>1.2778872066666669</v>
      </c>
      <c r="BC156" s="5">
        <f t="shared" si="258"/>
        <v>0.12949812449178433</v>
      </c>
      <c r="BD156" s="469">
        <f t="shared" si="296"/>
        <v>21.128588807574381</v>
      </c>
      <c r="BF156" s="177">
        <f t="shared" si="265"/>
        <v>0.21120534654355161</v>
      </c>
      <c r="BG156" s="177">
        <f t="shared" si="261"/>
        <v>0.27025807772822746</v>
      </c>
      <c r="BI156" s="538">
        <f t="shared" si="236"/>
        <v>1.5612694443003602E-2</v>
      </c>
      <c r="BJ156" s="538">
        <f t="shared" si="237"/>
        <v>2.9558304504944805E-2</v>
      </c>
      <c r="BK156" s="538">
        <f t="shared" si="238"/>
        <v>4.3749999999999995E-3</v>
      </c>
      <c r="BL156" s="538">
        <f t="shared" si="239"/>
        <v>1.7457108480000001E-2</v>
      </c>
      <c r="BM156">
        <f t="shared" si="240"/>
        <v>3.48E-3</v>
      </c>
      <c r="BN156">
        <f t="shared" si="297"/>
        <v>6.1250000000000006E-6</v>
      </c>
      <c r="BO156" s="538">
        <f t="shared" si="298"/>
        <v>7.2806668854350415E-2</v>
      </c>
      <c r="BP156" s="469">
        <f t="shared" si="243"/>
        <v>70.483107427948397</v>
      </c>
      <c r="BQ156" s="538">
        <f t="shared" si="299"/>
        <v>6.3045061716550249E-2</v>
      </c>
      <c r="BT156" s="469">
        <f t="shared" si="245"/>
        <v>63.045061716550251</v>
      </c>
      <c r="BU156" s="538">
        <f t="shared" si="246"/>
        <v>4.4607698408581729E-3</v>
      </c>
      <c r="BV156" s="538">
        <f t="shared" si="247"/>
        <v>2.1911828573206991E-3</v>
      </c>
      <c r="BW156" s="538">
        <f t="shared" si="248"/>
        <v>0</v>
      </c>
      <c r="BX156" s="538"/>
      <c r="BY156" s="538">
        <f t="shared" si="249"/>
        <v>5.004800000000002E-3</v>
      </c>
      <c r="BZ156" s="469">
        <f t="shared" si="250"/>
        <v>11.656752698178874</v>
      </c>
      <c r="CA156" s="177">
        <f t="shared" si="251"/>
        <v>0.14518492184267753</v>
      </c>
      <c r="CB156" s="5">
        <f t="shared" si="252"/>
        <v>1.4720000000000002</v>
      </c>
      <c r="CC156" s="177">
        <f t="shared" si="253"/>
        <v>0.91022367332163312</v>
      </c>
      <c r="CD156" s="5">
        <f t="shared" si="254"/>
        <v>91.022367332163313</v>
      </c>
      <c r="CG156" s="571">
        <f t="shared" si="300"/>
        <v>-50</v>
      </c>
      <c r="CH156">
        <f t="shared" si="301"/>
        <v>-50</v>
      </c>
    </row>
    <row r="157" spans="5:86" x14ac:dyDescent="0.25">
      <c r="E157" s="174">
        <v>47</v>
      </c>
      <c r="F157" s="221">
        <f t="shared" si="302"/>
        <v>9.4E-2</v>
      </c>
      <c r="G157" s="221"/>
      <c r="H157" s="221">
        <f t="shared" si="266"/>
        <v>1.504</v>
      </c>
      <c r="I157" s="551">
        <f t="shared" si="267"/>
        <v>12</v>
      </c>
      <c r="J157" s="451">
        <f t="shared" si="268"/>
        <v>19.584</v>
      </c>
      <c r="K157" s="451">
        <f t="shared" si="269"/>
        <v>31.584</v>
      </c>
      <c r="L157" s="451"/>
      <c r="M157" s="221">
        <f t="shared" si="270"/>
        <v>0.62006079027355621</v>
      </c>
      <c r="N157" s="176">
        <f t="shared" si="271"/>
        <v>5.0626723404255323</v>
      </c>
      <c r="O157" s="176">
        <f t="shared" si="262"/>
        <v>1.504</v>
      </c>
      <c r="P157" s="221">
        <f t="shared" si="272"/>
        <v>0.31641702127659577</v>
      </c>
      <c r="Q157" s="221">
        <f t="shared" si="273"/>
        <v>16</v>
      </c>
      <c r="R157" s="221"/>
      <c r="S157" s="176">
        <f t="shared" si="274"/>
        <v>76.212025327252107</v>
      </c>
      <c r="T157" s="176">
        <f t="shared" si="275"/>
        <v>16</v>
      </c>
      <c r="U157" s="221">
        <f t="shared" si="276"/>
        <v>0.4491793754538852</v>
      </c>
      <c r="V157" s="221">
        <f t="shared" si="277"/>
        <v>1.1229484386347131</v>
      </c>
      <c r="W157" s="221">
        <f t="shared" si="278"/>
        <v>0.68808115112421142</v>
      </c>
      <c r="X157" s="201">
        <f t="shared" si="279"/>
        <v>350</v>
      </c>
      <c r="Y157" s="451">
        <f t="shared" si="215"/>
        <v>350</v>
      </c>
      <c r="AA157" s="221">
        <f t="shared" si="280"/>
        <v>0.70864090316977857</v>
      </c>
      <c r="AB157" s="177">
        <f t="shared" si="281"/>
        <v>1.0855405992184108</v>
      </c>
      <c r="AC157" s="177">
        <f t="shared" si="282"/>
        <v>0.16154427883809541</v>
      </c>
      <c r="AD157" s="177"/>
      <c r="AE157" s="177">
        <f t="shared" si="283"/>
        <v>0.4595588235294118</v>
      </c>
      <c r="AF157" s="555">
        <f t="shared" si="284"/>
        <v>1136.3555555555558</v>
      </c>
      <c r="AG157" s="538">
        <f t="shared" si="285"/>
        <v>2.8952205882352939E-2</v>
      </c>
      <c r="AI157" s="177">
        <f t="shared" si="286"/>
        <v>0.54056055561399807</v>
      </c>
      <c r="AJ157" s="177">
        <f t="shared" si="287"/>
        <v>0.54056055561399807</v>
      </c>
      <c r="AK157" s="177">
        <f t="shared" si="288"/>
        <v>1.3603737037426653</v>
      </c>
      <c r="AM157" s="555">
        <f t="shared" si="289"/>
        <v>94</v>
      </c>
      <c r="AN157" s="469">
        <f t="shared" si="290"/>
        <v>350</v>
      </c>
      <c r="AP157">
        <f t="shared" si="291"/>
        <v>94</v>
      </c>
      <c r="AQ157">
        <f t="shared" si="292"/>
        <v>350</v>
      </c>
      <c r="AS157" s="5">
        <f t="shared" si="263"/>
        <v>2.8571428571428572</v>
      </c>
      <c r="AT157" s="5">
        <f t="shared" si="293"/>
        <v>1.3514013890349954</v>
      </c>
      <c r="AU157" s="5">
        <f t="shared" si="230"/>
        <v>1.5057414681078618</v>
      </c>
      <c r="AV157" s="5"/>
      <c r="AW157" s="177">
        <f t="shared" si="231"/>
        <v>0.47299048616224837</v>
      </c>
      <c r="AX157" s="177">
        <f t="shared" si="259"/>
        <v>1.5340800000000001</v>
      </c>
      <c r="AY157" s="177">
        <f t="shared" si="260"/>
        <v>0.17092833336839883</v>
      </c>
      <c r="AZ157" s="177">
        <f t="shared" si="264"/>
        <v>8.9749895161829283</v>
      </c>
      <c r="BA157" s="469">
        <f t="shared" si="294"/>
        <v>8.6504050333139713</v>
      </c>
      <c r="BB157" s="469">
        <f t="shared" si="295"/>
        <v>1.3279210016666665</v>
      </c>
      <c r="BC157" s="5">
        <f t="shared" si="258"/>
        <v>0.13105527592790647</v>
      </c>
      <c r="BD157" s="469">
        <f t="shared" si="296"/>
        <v>21.386621926242817</v>
      </c>
      <c r="BF157" s="177">
        <f t="shared" si="265"/>
        <v>0.21463963819961668</v>
      </c>
      <c r="BG157" s="177">
        <f t="shared" si="261"/>
        <v>0.27187808275886649</v>
      </c>
      <c r="BI157" s="538">
        <f t="shared" si="236"/>
        <v>1.6124561000261821E-2</v>
      </c>
      <c r="BJ157" s="538">
        <f t="shared" si="237"/>
        <v>2.9877863029896902E-2</v>
      </c>
      <c r="BK157" s="538">
        <f t="shared" si="238"/>
        <v>4.3749999999999995E-3</v>
      </c>
      <c r="BL157" s="538">
        <f t="shared" si="239"/>
        <v>1.7457108480000001E-2</v>
      </c>
      <c r="BM157">
        <f t="shared" si="240"/>
        <v>3.48E-3</v>
      </c>
      <c r="BN157">
        <f t="shared" si="297"/>
        <v>6.1250000000000006E-6</v>
      </c>
      <c r="BO157" s="538">
        <f t="shared" si="298"/>
        <v>7.3716779300186996E-2</v>
      </c>
      <c r="BP157" s="469">
        <f t="shared" si="243"/>
        <v>71.314532510158728</v>
      </c>
      <c r="BQ157" s="538">
        <f t="shared" si="299"/>
        <v>6.4144558299931362E-2</v>
      </c>
      <c r="BT157" s="469">
        <f t="shared" si="245"/>
        <v>64.144558299931361</v>
      </c>
      <c r="BU157" s="538">
        <f t="shared" si="246"/>
        <v>4.6070174286462345E-3</v>
      </c>
      <c r="BV157" s="538">
        <f t="shared" si="247"/>
        <v>2.2175307565391114E-3</v>
      </c>
      <c r="BW157" s="538">
        <f t="shared" si="248"/>
        <v>0</v>
      </c>
      <c r="BX157" s="538"/>
      <c r="BY157" s="538">
        <f t="shared" si="249"/>
        <v>5.1136000000000003E-3</v>
      </c>
      <c r="BZ157" s="469">
        <f t="shared" si="250"/>
        <v>11.938148185185346</v>
      </c>
      <c r="CA157" s="177">
        <f t="shared" si="251"/>
        <v>0.14739723899527543</v>
      </c>
      <c r="CB157" s="5">
        <f t="shared" si="252"/>
        <v>1.504</v>
      </c>
      <c r="CC157" s="177">
        <f t="shared" si="253"/>
        <v>0.910743923076344</v>
      </c>
      <c r="CD157" s="5">
        <f t="shared" si="254"/>
        <v>91.074392307634398</v>
      </c>
      <c r="CG157" s="571">
        <f t="shared" si="300"/>
        <v>-50</v>
      </c>
      <c r="CH157">
        <f t="shared" si="301"/>
        <v>-50</v>
      </c>
    </row>
    <row r="158" spans="5:86" x14ac:dyDescent="0.25">
      <c r="E158" s="174">
        <v>48</v>
      </c>
      <c r="F158" s="221">
        <f t="shared" si="302"/>
        <v>9.6000000000000002E-2</v>
      </c>
      <c r="G158" s="221"/>
      <c r="H158" s="221">
        <f t="shared" si="266"/>
        <v>1.536</v>
      </c>
      <c r="I158" s="551">
        <f t="shared" si="267"/>
        <v>12</v>
      </c>
      <c r="J158" s="451">
        <f t="shared" si="268"/>
        <v>19.584</v>
      </c>
      <c r="K158" s="451">
        <f t="shared" si="269"/>
        <v>31.584</v>
      </c>
      <c r="L158" s="451"/>
      <c r="M158" s="221">
        <f t="shared" si="270"/>
        <v>0.62006079027355621</v>
      </c>
      <c r="N158" s="176">
        <f t="shared" si="271"/>
        <v>5.0626723404255323</v>
      </c>
      <c r="O158" s="176">
        <f t="shared" si="262"/>
        <v>1.536</v>
      </c>
      <c r="P158" s="221">
        <f t="shared" si="272"/>
        <v>0.31641702127659577</v>
      </c>
      <c r="Q158" s="221">
        <f t="shared" si="273"/>
        <v>16</v>
      </c>
      <c r="R158" s="221"/>
      <c r="S158" s="176">
        <f t="shared" si="274"/>
        <v>74.417816343272648</v>
      </c>
      <c r="T158" s="176">
        <f t="shared" si="275"/>
        <v>16</v>
      </c>
      <c r="U158" s="221">
        <f t="shared" si="276"/>
        <v>0.45873638344226575</v>
      </c>
      <c r="V158" s="221">
        <f t="shared" si="277"/>
        <v>1.1468409586056645</v>
      </c>
      <c r="W158" s="221">
        <f t="shared" si="278"/>
        <v>0.70272117561621594</v>
      </c>
      <c r="X158" s="201">
        <f t="shared" si="279"/>
        <v>350</v>
      </c>
      <c r="Y158" s="451">
        <f t="shared" si="215"/>
        <v>350</v>
      </c>
      <c r="AA158" s="221">
        <f t="shared" si="280"/>
        <v>0.70864090316977857</v>
      </c>
      <c r="AB158" s="177">
        <f t="shared" si="281"/>
        <v>1.0855405992184108</v>
      </c>
      <c r="AC158" s="177">
        <f t="shared" si="282"/>
        <v>0.16154427883809541</v>
      </c>
      <c r="AD158" s="177"/>
      <c r="AE158" s="177">
        <f t="shared" si="283"/>
        <v>0.4595588235294118</v>
      </c>
      <c r="AF158" s="555">
        <f t="shared" si="284"/>
        <v>1160.5333333333335</v>
      </c>
      <c r="AG158" s="538">
        <f t="shared" si="285"/>
        <v>2.8952205882352939E-2</v>
      </c>
      <c r="AI158" s="177">
        <f t="shared" si="286"/>
        <v>0.54628093243573594</v>
      </c>
      <c r="AJ158" s="177">
        <f t="shared" si="287"/>
        <v>0.54628093243573594</v>
      </c>
      <c r="AK158" s="177">
        <f t="shared" si="288"/>
        <v>1.3641872882904906</v>
      </c>
      <c r="AM158" s="555">
        <f t="shared" si="289"/>
        <v>96</v>
      </c>
      <c r="AN158" s="469">
        <f t="shared" si="290"/>
        <v>350</v>
      </c>
      <c r="AP158">
        <f t="shared" si="291"/>
        <v>96</v>
      </c>
      <c r="AQ158">
        <f t="shared" si="292"/>
        <v>350</v>
      </c>
      <c r="AS158" s="5">
        <f t="shared" si="263"/>
        <v>2.8571428571428572</v>
      </c>
      <c r="AT158" s="5">
        <f t="shared" si="293"/>
        <v>1.3657023310893397</v>
      </c>
      <c r="AU158" s="5">
        <f t="shared" si="230"/>
        <v>1.4914405260535175</v>
      </c>
      <c r="AV158" s="5"/>
      <c r="AW158" s="177">
        <f t="shared" si="231"/>
        <v>0.47799581588126888</v>
      </c>
      <c r="AX158" s="177">
        <f t="shared" si="259"/>
        <v>1.5667199999999999</v>
      </c>
      <c r="AY158" s="177">
        <f t="shared" si="260"/>
        <v>0.17109655946144159</v>
      </c>
      <c r="AZ158" s="177">
        <f t="shared" si="264"/>
        <v>9.1569345691786204</v>
      </c>
      <c r="BA158" s="469">
        <f t="shared" si="294"/>
        <v>8.6504050333139713</v>
      </c>
      <c r="BB158" s="469">
        <f t="shared" si="295"/>
        <v>1.3789017599999998</v>
      </c>
      <c r="BC158" s="5">
        <f t="shared" si="258"/>
        <v>0.13257249120475711</v>
      </c>
      <c r="BD158" s="469">
        <f t="shared" si="296"/>
        <v>21.638265259427804</v>
      </c>
      <c r="BF158" s="177">
        <f t="shared" si="265"/>
        <v>0.21805570930201859</v>
      </c>
      <c r="BG158" s="177">
        <f t="shared" si="261"/>
        <v>0.27344730832705982</v>
      </c>
      <c r="BI158" s="538">
        <f t="shared" si="236"/>
        <v>1.6641902325722251E-2</v>
      </c>
      <c r="BJ158" s="538">
        <f t="shared" si="237"/>
        <v>3.0194039697587997E-2</v>
      </c>
      <c r="BK158" s="538">
        <f t="shared" si="238"/>
        <v>4.3749999999999995E-3</v>
      </c>
      <c r="BL158" s="538">
        <f t="shared" si="239"/>
        <v>1.7457108480000001E-2</v>
      </c>
      <c r="BM158">
        <f t="shared" si="240"/>
        <v>3.48E-3</v>
      </c>
      <c r="BN158">
        <f t="shared" si="297"/>
        <v>6.1250000000000006E-6</v>
      </c>
      <c r="BO158" s="538">
        <f t="shared" si="298"/>
        <v>7.4629978515285342E-2</v>
      </c>
      <c r="BP158" s="469">
        <f t="shared" si="243"/>
        <v>72.148050503310245</v>
      </c>
      <c r="BQ158" s="538">
        <f t="shared" si="299"/>
        <v>6.5235450424762004E-2</v>
      </c>
      <c r="BT158" s="469">
        <f t="shared" si="245"/>
        <v>65.235450424762007</v>
      </c>
      <c r="BU158" s="538">
        <f t="shared" si="246"/>
        <v>4.7548292359206436E-3</v>
      </c>
      <c r="BV158" s="538">
        <f t="shared" si="247"/>
        <v>2.2432029129394238E-3</v>
      </c>
      <c r="BW158" s="538">
        <f t="shared" si="248"/>
        <v>0</v>
      </c>
      <c r="BX158" s="538"/>
      <c r="BY158" s="538">
        <f t="shared" si="249"/>
        <v>5.2223999999999994E-3</v>
      </c>
      <c r="BZ158" s="469">
        <f t="shared" si="250"/>
        <v>12.220432148860066</v>
      </c>
      <c r="CA158" s="177">
        <f t="shared" si="251"/>
        <v>0.14960393307693229</v>
      </c>
      <c r="CB158" s="5">
        <f t="shared" si="252"/>
        <v>1.536</v>
      </c>
      <c r="CC158" s="177">
        <f t="shared" si="253"/>
        <v>0.91124609397188427</v>
      </c>
      <c r="CD158" s="5">
        <f t="shared" si="254"/>
        <v>91.124609397188422</v>
      </c>
      <c r="CG158" s="571">
        <f t="shared" si="300"/>
        <v>-50</v>
      </c>
      <c r="CH158">
        <f t="shared" si="301"/>
        <v>-50</v>
      </c>
    </row>
    <row r="159" spans="5:86" x14ac:dyDescent="0.25">
      <c r="E159" s="174">
        <v>49</v>
      </c>
      <c r="F159" s="221">
        <f t="shared" si="302"/>
        <v>9.8000000000000004E-2</v>
      </c>
      <c r="G159" s="221"/>
      <c r="H159" s="221">
        <f t="shared" si="266"/>
        <v>1.5680000000000001</v>
      </c>
      <c r="I159" s="551">
        <f t="shared" si="267"/>
        <v>12</v>
      </c>
      <c r="J159" s="451">
        <f t="shared" si="268"/>
        <v>19.584</v>
      </c>
      <c r="K159" s="451">
        <f t="shared" si="269"/>
        <v>31.584</v>
      </c>
      <c r="L159" s="451"/>
      <c r="M159" s="221">
        <f t="shared" si="270"/>
        <v>0.62006079027355621</v>
      </c>
      <c r="N159" s="176">
        <f t="shared" si="271"/>
        <v>5.0626723404255323</v>
      </c>
      <c r="O159" s="176">
        <f t="shared" si="262"/>
        <v>1.5680000000000001</v>
      </c>
      <c r="P159" s="221">
        <f t="shared" si="272"/>
        <v>0.31641702127659577</v>
      </c>
      <c r="Q159" s="221">
        <f t="shared" si="273"/>
        <v>16</v>
      </c>
      <c r="R159" s="221"/>
      <c r="S159" s="176">
        <f t="shared" si="274"/>
        <v>72.69688670301251</v>
      </c>
      <c r="T159" s="176">
        <f t="shared" si="275"/>
        <v>16</v>
      </c>
      <c r="U159" s="221">
        <f t="shared" si="276"/>
        <v>0.4682933914306463</v>
      </c>
      <c r="V159" s="221">
        <f t="shared" si="277"/>
        <v>1.1707334785766157</v>
      </c>
      <c r="W159" s="221">
        <f t="shared" si="278"/>
        <v>0.71736120010822035</v>
      </c>
      <c r="X159" s="201">
        <f t="shared" si="279"/>
        <v>350</v>
      </c>
      <c r="Y159" s="451">
        <f t="shared" si="215"/>
        <v>350</v>
      </c>
      <c r="AA159" s="221">
        <f t="shared" si="280"/>
        <v>0.70864090316977857</v>
      </c>
      <c r="AB159" s="177">
        <f t="shared" si="281"/>
        <v>1.0855405992184108</v>
      </c>
      <c r="AC159" s="177">
        <f t="shared" si="282"/>
        <v>0.16154427883809541</v>
      </c>
      <c r="AD159" s="177"/>
      <c r="AE159" s="177">
        <f t="shared" si="283"/>
        <v>0.4595588235294118</v>
      </c>
      <c r="AF159" s="555">
        <f t="shared" si="284"/>
        <v>1184.7111111111112</v>
      </c>
      <c r="AG159" s="538">
        <f t="shared" si="285"/>
        <v>2.8952205882352939E-2</v>
      </c>
      <c r="AI159" s="177">
        <f t="shared" si="286"/>
        <v>0.55194202594113084</v>
      </c>
      <c r="AJ159" s="177">
        <f t="shared" si="287"/>
        <v>0.55194202594113084</v>
      </c>
      <c r="AK159" s="177">
        <f t="shared" si="288"/>
        <v>1.3679613506274206</v>
      </c>
      <c r="AM159" s="555">
        <f t="shared" si="289"/>
        <v>98</v>
      </c>
      <c r="AN159" s="469">
        <f t="shared" si="290"/>
        <v>350</v>
      </c>
      <c r="AP159">
        <f t="shared" si="291"/>
        <v>98</v>
      </c>
      <c r="AQ159">
        <f t="shared" si="292"/>
        <v>350</v>
      </c>
      <c r="AS159" s="5">
        <f t="shared" si="263"/>
        <v>2.8571428571428572</v>
      </c>
      <c r="AT159" s="5">
        <f t="shared" si="293"/>
        <v>1.3798550648528272</v>
      </c>
      <c r="AU159" s="5">
        <f t="shared" si="230"/>
        <v>1.47728779229003</v>
      </c>
      <c r="AV159" s="5"/>
      <c r="AW159" s="177">
        <f t="shared" si="231"/>
        <v>0.48294927269848947</v>
      </c>
      <c r="AX159" s="177">
        <f t="shared" si="259"/>
        <v>1.5993599999999997</v>
      </c>
      <c r="AY159" s="177">
        <f t="shared" si="260"/>
        <v>0.17122921556467854</v>
      </c>
      <c r="AZ159" s="177">
        <f t="shared" si="264"/>
        <v>9.3404621093756752</v>
      </c>
      <c r="BA159" s="469">
        <f t="shared" si="294"/>
        <v>8.6504050333139713</v>
      </c>
      <c r="BB159" s="469">
        <f t="shared" si="295"/>
        <v>1.4308294816666667</v>
      </c>
      <c r="BC159" s="5">
        <f t="shared" si="258"/>
        <v>0.13405018855965087</v>
      </c>
      <c r="BD159" s="469">
        <f t="shared" si="296"/>
        <v>21.883585725099699</v>
      </c>
      <c r="BF159" s="177">
        <f t="shared" si="265"/>
        <v>0.22145403317985113</v>
      </c>
      <c r="BG159" s="177">
        <f t="shared" si="261"/>
        <v>0.27496705277407951</v>
      </c>
      <c r="BI159" s="538">
        <f t="shared" si="236"/>
        <v>1.716466108406791E-2</v>
      </c>
      <c r="BJ159" s="538">
        <f t="shared" si="237"/>
        <v>3.0506939657818193E-2</v>
      </c>
      <c r="BK159" s="538">
        <f t="shared" si="238"/>
        <v>4.3749999999999995E-3</v>
      </c>
      <c r="BL159" s="538">
        <f t="shared" si="239"/>
        <v>1.7457108480000001E-2</v>
      </c>
      <c r="BM159">
        <f t="shared" si="240"/>
        <v>3.48E-3</v>
      </c>
      <c r="BN159">
        <f t="shared" si="297"/>
        <v>6.1250000000000006E-6</v>
      </c>
      <c r="BO159" s="538">
        <f t="shared" si="298"/>
        <v>7.5546309562797898E-2</v>
      </c>
      <c r="BP159" s="469">
        <f t="shared" si="243"/>
        <v>72.983709221886102</v>
      </c>
      <c r="BQ159" s="538">
        <f t="shared" si="299"/>
        <v>6.6317828202502635E-2</v>
      </c>
      <c r="BT159" s="469">
        <f t="shared" si="245"/>
        <v>66.317828202502639</v>
      </c>
      <c r="BU159" s="538">
        <f t="shared" si="246"/>
        <v>4.9041888811622606E-3</v>
      </c>
      <c r="BV159" s="538">
        <f t="shared" si="247"/>
        <v>2.2682064033379026E-3</v>
      </c>
      <c r="BW159" s="538">
        <f t="shared" si="248"/>
        <v>0</v>
      </c>
      <c r="BX159" s="538"/>
      <c r="BY159" s="538">
        <f t="shared" si="249"/>
        <v>5.3311999999999995E-3</v>
      </c>
      <c r="BZ159" s="469">
        <f t="shared" si="250"/>
        <v>12.503595284500163</v>
      </c>
      <c r="CA159" s="177">
        <f t="shared" si="251"/>
        <v>0.1518051327088889</v>
      </c>
      <c r="CB159" s="5">
        <f t="shared" si="252"/>
        <v>1.5680000000000001</v>
      </c>
      <c r="CC159" s="177">
        <f t="shared" si="253"/>
        <v>0.91173120150549936</v>
      </c>
      <c r="CD159" s="5">
        <f t="shared" si="254"/>
        <v>91.173120150549934</v>
      </c>
      <c r="CG159" s="571">
        <f t="shared" si="300"/>
        <v>-50</v>
      </c>
      <c r="CH159">
        <f t="shared" si="301"/>
        <v>-50</v>
      </c>
    </row>
    <row r="160" spans="5:86" x14ac:dyDescent="0.25">
      <c r="E160" s="174">
        <v>50</v>
      </c>
      <c r="F160" s="221">
        <f t="shared" si="302"/>
        <v>0.1</v>
      </c>
      <c r="G160" s="221"/>
      <c r="H160" s="221">
        <f t="shared" si="266"/>
        <v>1.6</v>
      </c>
      <c r="I160" s="551">
        <f t="shared" si="267"/>
        <v>12</v>
      </c>
      <c r="J160" s="451">
        <f t="shared" si="268"/>
        <v>19.584</v>
      </c>
      <c r="K160" s="451">
        <f t="shared" si="269"/>
        <v>31.584</v>
      </c>
      <c r="L160" s="451"/>
      <c r="M160" s="221">
        <f t="shared" si="270"/>
        <v>0.62006079027355621</v>
      </c>
      <c r="N160" s="176">
        <f t="shared" si="271"/>
        <v>5.0626723404255323</v>
      </c>
      <c r="O160" s="176">
        <f t="shared" si="262"/>
        <v>1.6</v>
      </c>
      <c r="P160" s="221">
        <f t="shared" si="272"/>
        <v>0.31641702127659577</v>
      </c>
      <c r="Q160" s="221">
        <f t="shared" si="273"/>
        <v>16</v>
      </c>
      <c r="R160" s="221"/>
      <c r="S160" s="176">
        <f t="shared" si="274"/>
        <v>71.044840008043721</v>
      </c>
      <c r="T160" s="176">
        <f t="shared" si="275"/>
        <v>16</v>
      </c>
      <c r="U160" s="221">
        <f t="shared" si="276"/>
        <v>0.47785039941902685</v>
      </c>
      <c r="V160" s="221">
        <f t="shared" si="277"/>
        <v>1.1946259985475673</v>
      </c>
      <c r="W160" s="221">
        <f t="shared" si="278"/>
        <v>0.73200122460022499</v>
      </c>
      <c r="X160" s="201">
        <f t="shared" si="279"/>
        <v>350</v>
      </c>
      <c r="Y160" s="451">
        <f t="shared" si="215"/>
        <v>350</v>
      </c>
      <c r="AA160" s="221">
        <f t="shared" si="280"/>
        <v>0.70864090316977857</v>
      </c>
      <c r="AB160" s="177">
        <f t="shared" si="281"/>
        <v>1.0855405992184108</v>
      </c>
      <c r="AC160" s="177">
        <f t="shared" si="282"/>
        <v>0.16154427883809541</v>
      </c>
      <c r="AD160" s="177"/>
      <c r="AE160" s="177">
        <f t="shared" si="283"/>
        <v>0.4595588235294118</v>
      </c>
      <c r="AF160" s="555">
        <f t="shared" si="284"/>
        <v>1208.8888888888889</v>
      </c>
      <c r="AG160" s="538">
        <f t="shared" si="285"/>
        <v>2.8952205882352939E-2</v>
      </c>
      <c r="AI160" s="177">
        <f t="shared" si="286"/>
        <v>0.55754564194973566</v>
      </c>
      <c r="AJ160" s="177">
        <f t="shared" si="287"/>
        <v>0.55754564194973566</v>
      </c>
      <c r="AK160" s="177">
        <f t="shared" si="288"/>
        <v>1.371697094633157</v>
      </c>
      <c r="AM160" s="555">
        <f t="shared" si="289"/>
        <v>100</v>
      </c>
      <c r="AN160" s="469">
        <f t="shared" si="290"/>
        <v>350</v>
      </c>
      <c r="AP160">
        <f t="shared" si="291"/>
        <v>100</v>
      </c>
      <c r="AQ160">
        <f t="shared" si="292"/>
        <v>350</v>
      </c>
      <c r="AS160" s="5">
        <f t="shared" si="263"/>
        <v>2.8571428571428572</v>
      </c>
      <c r="AT160" s="5">
        <f t="shared" si="293"/>
        <v>1.3938641048743392</v>
      </c>
      <c r="AU160" s="5">
        <f t="shared" si="230"/>
        <v>1.463278752268518</v>
      </c>
      <c r="AV160" s="5"/>
      <c r="AW160" s="177">
        <f t="shared" si="231"/>
        <v>0.48785243670601869</v>
      </c>
      <c r="AX160" s="177">
        <f t="shared" si="259"/>
        <v>1.6319999999999999</v>
      </c>
      <c r="AY160" s="177">
        <f t="shared" si="260"/>
        <v>0.17132738516984142</v>
      </c>
      <c r="AZ160" s="177">
        <f t="shared" si="264"/>
        <v>9.5256225289503753</v>
      </c>
      <c r="BA160" s="469">
        <f t="shared" si="294"/>
        <v>8.6504050333139713</v>
      </c>
      <c r="BB160" s="469">
        <f t="shared" si="295"/>
        <v>1.4837041666666668</v>
      </c>
      <c r="BC160" s="5">
        <f t="shared" si="258"/>
        <v>0.13548877335819612</v>
      </c>
      <c r="BD160" s="469">
        <f t="shared" si="296"/>
        <v>22.122648181755824</v>
      </c>
      <c r="BF160" s="177">
        <f t="shared" si="265"/>
        <v>0.22483506147865231</v>
      </c>
      <c r="BG160" s="177">
        <f t="shared" si="261"/>
        <v>0.27643854571761711</v>
      </c>
      <c r="BI160" s="538">
        <f t="shared" si="236"/>
        <v>1.7692781704538276E-2</v>
      </c>
      <c r="BJ160" s="538">
        <f t="shared" si="237"/>
        <v>3.0816662721845786E-2</v>
      </c>
      <c r="BK160" s="538">
        <f t="shared" si="238"/>
        <v>4.3749999999999995E-3</v>
      </c>
      <c r="BL160" s="538">
        <f t="shared" si="239"/>
        <v>1.7457108480000001E-2</v>
      </c>
      <c r="BM160">
        <f t="shared" si="240"/>
        <v>3.48E-3</v>
      </c>
      <c r="BN160">
        <f t="shared" si="297"/>
        <v>6.1250000000000006E-6</v>
      </c>
      <c r="BO160" s="538">
        <f t="shared" si="298"/>
        <v>7.6465812180748577E-2</v>
      </c>
      <c r="BP160" s="469">
        <f t="shared" si="243"/>
        <v>73.821552906384071</v>
      </c>
      <c r="BQ160" s="538">
        <f t="shared" si="299"/>
        <v>6.7391778971335969E-2</v>
      </c>
      <c r="BT160" s="469">
        <f t="shared" si="245"/>
        <v>67.391778971335967</v>
      </c>
      <c r="BU160" s="538">
        <f t="shared" si="246"/>
        <v>5.0550804870109368E-3</v>
      </c>
      <c r="BV160" s="538">
        <f t="shared" si="247"/>
        <v>2.2925480867541327E-3</v>
      </c>
      <c r="BW160" s="538">
        <f t="shared" si="248"/>
        <v>0</v>
      </c>
      <c r="BX160" s="538"/>
      <c r="BY160" s="538">
        <f t="shared" si="249"/>
        <v>5.4399999999999995E-3</v>
      </c>
      <c r="BZ160" s="469">
        <f t="shared" si="250"/>
        <v>12.787628573765069</v>
      </c>
      <c r="CA160" s="177">
        <f t="shared" si="251"/>
        <v>0.15400096045148512</v>
      </c>
      <c r="CB160" s="5">
        <f t="shared" si="252"/>
        <v>1.6</v>
      </c>
      <c r="CC160" s="177">
        <f t="shared" si="253"/>
        <v>0.91220018464993036</v>
      </c>
      <c r="CD160" s="5">
        <f t="shared" si="254"/>
        <v>91.220018464993032</v>
      </c>
      <c r="CG160" s="571">
        <f t="shared" si="300"/>
        <v>-50</v>
      </c>
      <c r="CH160">
        <f t="shared" si="301"/>
        <v>-50</v>
      </c>
    </row>
    <row r="161" spans="5:86" x14ac:dyDescent="0.25">
      <c r="E161" s="174">
        <v>51</v>
      </c>
      <c r="F161" s="221">
        <f t="shared" si="302"/>
        <v>0.10200000000000001</v>
      </c>
      <c r="G161" s="221"/>
      <c r="H161" s="221">
        <f t="shared" si="266"/>
        <v>1.6320000000000001</v>
      </c>
      <c r="I161" s="551">
        <f t="shared" si="267"/>
        <v>12</v>
      </c>
      <c r="J161" s="451">
        <f t="shared" si="268"/>
        <v>19.584</v>
      </c>
      <c r="K161" s="451">
        <f t="shared" si="269"/>
        <v>31.584</v>
      </c>
      <c r="L161" s="451"/>
      <c r="M161" s="221">
        <f t="shared" si="270"/>
        <v>0.62006079027355621</v>
      </c>
      <c r="N161" s="176">
        <f t="shared" si="271"/>
        <v>5.0626723404255323</v>
      </c>
      <c r="O161" s="176">
        <f t="shared" si="262"/>
        <v>1.6320000000000001</v>
      </c>
      <c r="P161" s="221">
        <f t="shared" si="272"/>
        <v>0.31641702127659577</v>
      </c>
      <c r="Q161" s="221">
        <f t="shared" si="273"/>
        <v>16</v>
      </c>
      <c r="R161" s="221"/>
      <c r="S161" s="176">
        <f t="shared" si="274"/>
        <v>69.457624679114659</v>
      </c>
      <c r="T161" s="176">
        <f t="shared" si="275"/>
        <v>16</v>
      </c>
      <c r="U161" s="221">
        <f t="shared" si="276"/>
        <v>0.4874074074074074</v>
      </c>
      <c r="V161" s="221">
        <f t="shared" si="277"/>
        <v>1.2185185185185186</v>
      </c>
      <c r="W161" s="221">
        <f t="shared" si="278"/>
        <v>0.74664124909222951</v>
      </c>
      <c r="X161" s="201">
        <f t="shared" si="279"/>
        <v>350</v>
      </c>
      <c r="Y161" s="451">
        <f t="shared" si="215"/>
        <v>350</v>
      </c>
      <c r="AA161" s="221">
        <f t="shared" si="280"/>
        <v>0.70864090316977857</v>
      </c>
      <c r="AB161" s="177">
        <f t="shared" si="281"/>
        <v>1.0855405992184108</v>
      </c>
      <c r="AC161" s="177">
        <f t="shared" si="282"/>
        <v>0.16154427883809541</v>
      </c>
      <c r="AD161" s="177"/>
      <c r="AE161" s="177">
        <f t="shared" si="283"/>
        <v>0.4595588235294118</v>
      </c>
      <c r="AF161" s="555">
        <f t="shared" si="284"/>
        <v>1233.0666666666671</v>
      </c>
      <c r="AG161" s="538">
        <f t="shared" si="285"/>
        <v>2.8952205882352939E-2</v>
      </c>
      <c r="AI161" s="177">
        <f t="shared" si="286"/>
        <v>0.56309349642336104</v>
      </c>
      <c r="AJ161" s="177">
        <f t="shared" si="287"/>
        <v>0.56309349642336104</v>
      </c>
      <c r="AK161" s="177">
        <f t="shared" si="288"/>
        <v>1.3753956642822407</v>
      </c>
      <c r="AM161" s="555">
        <f t="shared" si="289"/>
        <v>102.00000000000001</v>
      </c>
      <c r="AN161" s="469">
        <f t="shared" si="290"/>
        <v>350</v>
      </c>
      <c r="AP161">
        <f t="shared" si="291"/>
        <v>102.00000000000001</v>
      </c>
      <c r="AQ161">
        <f t="shared" si="292"/>
        <v>350</v>
      </c>
      <c r="AS161" s="5">
        <f t="shared" si="263"/>
        <v>2.8571428571428572</v>
      </c>
      <c r="AT161" s="5">
        <f t="shared" si="293"/>
        <v>1.4077337410584028</v>
      </c>
      <c r="AU161" s="5">
        <f t="shared" si="230"/>
        <v>1.4494091160844544</v>
      </c>
      <c r="AV161" s="5"/>
      <c r="AW161" s="177">
        <f t="shared" si="231"/>
        <v>0.49270680937044098</v>
      </c>
      <c r="AX161" s="177">
        <f t="shared" si="259"/>
        <v>1.6646399999999997</v>
      </c>
      <c r="AY161" s="177">
        <f t="shared" si="260"/>
        <v>0.1713920978540166</v>
      </c>
      <c r="AZ161" s="177">
        <f t="shared" si="264"/>
        <v>9.7124664488199368</v>
      </c>
      <c r="BA161" s="469">
        <f t="shared" si="294"/>
        <v>8.6504050333139713</v>
      </c>
      <c r="BB161" s="469">
        <f t="shared" si="295"/>
        <v>1.537525815</v>
      </c>
      <c r="BC161" s="5">
        <f t="shared" si="258"/>
        <v>0.13688863874130958</v>
      </c>
      <c r="BD161" s="469">
        <f t="shared" si="296"/>
        <v>22.355515531942867</v>
      </c>
      <c r="BF161" s="177">
        <f t="shared" si="265"/>
        <v>0.22819922556667985</v>
      </c>
      <c r="BG161" s="177">
        <f t="shared" si="261"/>
        <v>0.2778629527518241</v>
      </c>
      <c r="BI161" s="538">
        <f t="shared" si="236"/>
        <v>1.822621029223135E-2</v>
      </c>
      <c r="BJ161" s="538">
        <f t="shared" si="237"/>
        <v>3.1123303734312012E-2</v>
      </c>
      <c r="BK161" s="538">
        <f t="shared" si="238"/>
        <v>4.3749999999999995E-3</v>
      </c>
      <c r="BL161" s="538">
        <f t="shared" si="239"/>
        <v>1.7457108480000001E-2</v>
      </c>
      <c r="BM161">
        <f t="shared" si="240"/>
        <v>3.48E-3</v>
      </c>
      <c r="BN161">
        <f t="shared" si="297"/>
        <v>6.1250000000000006E-6</v>
      </c>
      <c r="BO161" s="538">
        <f t="shared" si="298"/>
        <v>7.7388523052889832E-2</v>
      </c>
      <c r="BP161" s="469">
        <f t="shared" si="243"/>
        <v>74.661622506543367</v>
      </c>
      <c r="BQ161" s="538">
        <f t="shared" si="299"/>
        <v>6.8457387435569658E-2</v>
      </c>
      <c r="BT161" s="469">
        <f t="shared" si="245"/>
        <v>68.457387435569657</v>
      </c>
      <c r="BU161" s="538">
        <f t="shared" si="246"/>
        <v>5.2074886549232438E-3</v>
      </c>
      <c r="BV161" s="538">
        <f t="shared" si="247"/>
        <v>2.3162346153588727E-3</v>
      </c>
      <c r="BW161" s="538">
        <f t="shared" si="248"/>
        <v>0</v>
      </c>
      <c r="BX161" s="538"/>
      <c r="BY161" s="538">
        <f t="shared" si="249"/>
        <v>5.5488000000000004E-3</v>
      </c>
      <c r="BZ161" s="469">
        <f t="shared" si="250"/>
        <v>13.072523270282117</v>
      </c>
      <c r="CA161" s="177">
        <f t="shared" si="251"/>
        <v>0.15619153321239512</v>
      </c>
      <c r="CB161" s="5">
        <f t="shared" si="252"/>
        <v>1.6320000000000001</v>
      </c>
      <c r="CC161" s="177">
        <f t="shared" si="253"/>
        <v>0.91265391301131771</v>
      </c>
      <c r="CD161" s="5">
        <f t="shared" si="254"/>
        <v>91.265391301131771</v>
      </c>
      <c r="CG161" s="571">
        <f t="shared" si="300"/>
        <v>-50</v>
      </c>
      <c r="CH161">
        <f t="shared" si="301"/>
        <v>-50</v>
      </c>
    </row>
    <row r="162" spans="5:86" x14ac:dyDescent="0.25">
      <c r="E162" s="174">
        <v>52</v>
      </c>
      <c r="F162" s="221">
        <f t="shared" si="302"/>
        <v>0.10400000000000001</v>
      </c>
      <c r="G162" s="221"/>
      <c r="H162" s="221">
        <f t="shared" si="266"/>
        <v>1.6640000000000001</v>
      </c>
      <c r="I162" s="551">
        <f t="shared" si="267"/>
        <v>12</v>
      </c>
      <c r="J162" s="451">
        <f t="shared" si="268"/>
        <v>19.584</v>
      </c>
      <c r="K162" s="451">
        <f t="shared" si="269"/>
        <v>31.584</v>
      </c>
      <c r="L162" s="451"/>
      <c r="M162" s="221">
        <f t="shared" si="270"/>
        <v>0.62006079027355621</v>
      </c>
      <c r="N162" s="176">
        <f t="shared" si="271"/>
        <v>5.0626723404255323</v>
      </c>
      <c r="O162" s="176">
        <f t="shared" si="262"/>
        <v>1.6640000000000001</v>
      </c>
      <c r="P162" s="221">
        <f t="shared" si="272"/>
        <v>0.31641702127659577</v>
      </c>
      <c r="Q162" s="221">
        <f t="shared" si="273"/>
        <v>16</v>
      </c>
      <c r="R162" s="221"/>
      <c r="S162" s="176">
        <f t="shared" si="274"/>
        <v>67.931500800503201</v>
      </c>
      <c r="T162" s="176">
        <f t="shared" si="275"/>
        <v>16</v>
      </c>
      <c r="U162" s="221">
        <f t="shared" si="276"/>
        <v>0.49696441539578795</v>
      </c>
      <c r="V162" s="221">
        <f t="shared" si="277"/>
        <v>1.2424110384894698</v>
      </c>
      <c r="W162" s="221">
        <f t="shared" si="278"/>
        <v>0.76128127358423403</v>
      </c>
      <c r="X162" s="201">
        <f t="shared" si="279"/>
        <v>350</v>
      </c>
      <c r="Y162" s="451">
        <f t="shared" si="215"/>
        <v>350</v>
      </c>
      <c r="AA162" s="221">
        <f t="shared" si="280"/>
        <v>0.70864090316977857</v>
      </c>
      <c r="AB162" s="177">
        <f t="shared" si="281"/>
        <v>1.0855405992184108</v>
      </c>
      <c r="AC162" s="177">
        <f t="shared" si="282"/>
        <v>0.16154427883809541</v>
      </c>
      <c r="AD162" s="177"/>
      <c r="AE162" s="177">
        <f t="shared" si="283"/>
        <v>0.4595588235294118</v>
      </c>
      <c r="AF162" s="555">
        <f t="shared" si="284"/>
        <v>1257.2444444444448</v>
      </c>
      <c r="AG162" s="538">
        <f t="shared" si="285"/>
        <v>2.8952205882352939E-2</v>
      </c>
      <c r="AI162" s="177">
        <f t="shared" si="286"/>
        <v>0.56858722160406361</v>
      </c>
      <c r="AJ162" s="177">
        <f t="shared" si="287"/>
        <v>0.56858722160406361</v>
      </c>
      <c r="AK162" s="177">
        <f t="shared" si="288"/>
        <v>1.3790581477360424</v>
      </c>
      <c r="AM162" s="555">
        <f t="shared" si="289"/>
        <v>104.00000000000001</v>
      </c>
      <c r="AN162" s="469">
        <f t="shared" si="290"/>
        <v>350</v>
      </c>
      <c r="AP162">
        <f t="shared" si="291"/>
        <v>104.00000000000001</v>
      </c>
      <c r="AQ162">
        <f t="shared" si="292"/>
        <v>350</v>
      </c>
      <c r="AS162" s="5">
        <f t="shared" si="263"/>
        <v>2.8571428571428572</v>
      </c>
      <c r="AT162" s="5">
        <f t="shared" si="293"/>
        <v>1.421468054010159</v>
      </c>
      <c r="AU162" s="5">
        <f t="shared" si="230"/>
        <v>1.4356748031326982</v>
      </c>
      <c r="AV162" s="5"/>
      <c r="AW162" s="177">
        <f t="shared" si="231"/>
        <v>0.49751381890355562</v>
      </c>
      <c r="AX162" s="177">
        <f t="shared" si="259"/>
        <v>1.6972800000000001</v>
      </c>
      <c r="AY162" s="177">
        <f t="shared" si="260"/>
        <v>0.17142433296243817</v>
      </c>
      <c r="AZ162" s="177">
        <f t="shared" si="264"/>
        <v>9.901044797251167</v>
      </c>
      <c r="BA162" s="469">
        <f t="shared" si="294"/>
        <v>8.6504050333139713</v>
      </c>
      <c r="BB162" s="469">
        <f t="shared" si="295"/>
        <v>1.592294426666667</v>
      </c>
      <c r="BC162" s="5">
        <f t="shared" si="258"/>
        <v>0.13825016622759317</v>
      </c>
      <c r="BD162" s="469">
        <f t="shared" si="296"/>
        <v>22.58224881863713</v>
      </c>
      <c r="BF162" s="177">
        <f t="shared" si="265"/>
        <v>0.23154693782424726</v>
      </c>
      <c r="BG162" s="177">
        <f t="shared" si="261"/>
        <v>0.27924137973365282</v>
      </c>
      <c r="BI162" s="538">
        <f t="shared" si="236"/>
        <v>1.8764894545525039E-2</v>
      </c>
      <c r="BJ162" s="538">
        <f t="shared" si="237"/>
        <v>3.1426952912499806E-2</v>
      </c>
      <c r="BK162" s="538">
        <f t="shared" si="238"/>
        <v>4.3749999999999995E-3</v>
      </c>
      <c r="BL162" s="538">
        <f t="shared" si="239"/>
        <v>1.7457108480000001E-2</v>
      </c>
      <c r="BM162">
        <f t="shared" si="240"/>
        <v>3.48E-3</v>
      </c>
      <c r="BN162">
        <f t="shared" si="297"/>
        <v>6.1250000000000006E-6</v>
      </c>
      <c r="BO162" s="538">
        <f t="shared" si="298"/>
        <v>7.831447605386814E-2</v>
      </c>
      <c r="BP162" s="469">
        <f t="shared" si="243"/>
        <v>75.503955938024831</v>
      </c>
      <c r="BQ162" s="538">
        <f t="shared" si="299"/>
        <v>6.9514735795421667E-2</v>
      </c>
      <c r="BT162" s="469">
        <f t="shared" si="245"/>
        <v>69.514735795421672</v>
      </c>
      <c r="BU162" s="538">
        <f t="shared" si="246"/>
        <v>5.3613984415785826E-3</v>
      </c>
      <c r="BV162" s="538">
        <f t="shared" si="247"/>
        <v>2.3392724446666228E-3</v>
      </c>
      <c r="BW162" s="538">
        <f t="shared" si="248"/>
        <v>0</v>
      </c>
      <c r="BX162" s="538"/>
      <c r="BY162" s="538">
        <f t="shared" si="249"/>
        <v>5.6575999999999996E-3</v>
      </c>
      <c r="BZ162" s="469">
        <f t="shared" si="250"/>
        <v>13.358270886245204</v>
      </c>
      <c r="CA162" s="177">
        <f t="shared" si="251"/>
        <v>0.1583769626196917</v>
      </c>
      <c r="CB162" s="5">
        <f t="shared" si="252"/>
        <v>1.6640000000000001</v>
      </c>
      <c r="CC162" s="177">
        <f t="shared" si="253"/>
        <v>0.91309319319312365</v>
      </c>
      <c r="CD162" s="5">
        <f t="shared" si="254"/>
        <v>91.309319319312365</v>
      </c>
      <c r="CG162" s="571">
        <f t="shared" si="300"/>
        <v>-50</v>
      </c>
      <c r="CH162">
        <f t="shared" si="301"/>
        <v>-50</v>
      </c>
    </row>
    <row r="163" spans="5:86" x14ac:dyDescent="0.25">
      <c r="E163" s="174">
        <v>53</v>
      </c>
      <c r="F163" s="221">
        <f t="shared" si="302"/>
        <v>0.10600000000000001</v>
      </c>
      <c r="G163" s="221"/>
      <c r="H163" s="221">
        <f t="shared" si="266"/>
        <v>1.6960000000000002</v>
      </c>
      <c r="I163" s="551">
        <f t="shared" si="267"/>
        <v>12</v>
      </c>
      <c r="J163" s="451">
        <f t="shared" si="268"/>
        <v>19.584</v>
      </c>
      <c r="K163" s="451">
        <f t="shared" si="269"/>
        <v>31.584</v>
      </c>
      <c r="L163" s="451"/>
      <c r="M163" s="221">
        <f t="shared" si="270"/>
        <v>0.62006079027355621</v>
      </c>
      <c r="N163" s="176">
        <f t="shared" si="271"/>
        <v>5.0626723404255323</v>
      </c>
      <c r="O163" s="176">
        <f t="shared" si="262"/>
        <v>1.6960000000000002</v>
      </c>
      <c r="P163" s="221">
        <f t="shared" si="272"/>
        <v>0.31641702127659577</v>
      </c>
      <c r="Q163" s="221">
        <f t="shared" si="273"/>
        <v>16</v>
      </c>
      <c r="R163" s="221"/>
      <c r="S163" s="176">
        <f t="shared" si="274"/>
        <v>66.463010717839239</v>
      </c>
      <c r="T163" s="176">
        <f t="shared" si="275"/>
        <v>16</v>
      </c>
      <c r="U163" s="221">
        <f t="shared" si="276"/>
        <v>0.5065214233841685</v>
      </c>
      <c r="V163" s="221">
        <f t="shared" si="277"/>
        <v>1.2663035584604214</v>
      </c>
      <c r="W163" s="221">
        <f t="shared" si="278"/>
        <v>0.77592129807623855</v>
      </c>
      <c r="X163" s="201">
        <f t="shared" si="279"/>
        <v>350</v>
      </c>
      <c r="Y163" s="451">
        <f t="shared" si="215"/>
        <v>350</v>
      </c>
      <c r="AA163" s="221">
        <f t="shared" si="280"/>
        <v>0.70864090316977857</v>
      </c>
      <c r="AB163" s="177">
        <f t="shared" si="281"/>
        <v>1.0855405992184108</v>
      </c>
      <c r="AC163" s="177">
        <f t="shared" si="282"/>
        <v>0.16154427883809541</v>
      </c>
      <c r="AD163" s="177"/>
      <c r="AE163" s="177">
        <f t="shared" si="283"/>
        <v>0.4595588235294118</v>
      </c>
      <c r="AF163" s="555">
        <f t="shared" si="284"/>
        <v>1281.4222222222224</v>
      </c>
      <c r="AG163" s="538">
        <f t="shared" si="285"/>
        <v>2.8952205882352939E-2</v>
      </c>
      <c r="AI163" s="177">
        <f t="shared" si="286"/>
        <v>0.57402837162336451</v>
      </c>
      <c r="AJ163" s="177">
        <f t="shared" si="287"/>
        <v>0.57402837162336451</v>
      </c>
      <c r="AK163" s="177">
        <f t="shared" si="288"/>
        <v>1.3826855810822429</v>
      </c>
      <c r="AM163" s="555">
        <f t="shared" si="289"/>
        <v>106.00000000000001</v>
      </c>
      <c r="AN163" s="469">
        <f t="shared" si="290"/>
        <v>350</v>
      </c>
      <c r="AP163">
        <f t="shared" si="291"/>
        <v>106.00000000000001</v>
      </c>
      <c r="AQ163">
        <f t="shared" si="292"/>
        <v>350</v>
      </c>
      <c r="AS163" s="5">
        <f t="shared" si="263"/>
        <v>2.8571428571428572</v>
      </c>
      <c r="AT163" s="5">
        <f t="shared" si="293"/>
        <v>1.4350709290584114</v>
      </c>
      <c r="AU163" s="5">
        <f t="shared" si="230"/>
        <v>1.4220719280844458</v>
      </c>
      <c r="AV163" s="5"/>
      <c r="AW163" s="177">
        <f t="shared" si="231"/>
        <v>0.50227482517044397</v>
      </c>
      <c r="AX163" s="177">
        <f t="shared" si="259"/>
        <v>1.7299200000000006</v>
      </c>
      <c r="AY163" s="177">
        <f t="shared" si="260"/>
        <v>0.17142502297401868</v>
      </c>
      <c r="AZ163" s="177">
        <f t="shared" si="264"/>
        <v>10.091408885283851</v>
      </c>
      <c r="BA163" s="469">
        <f t="shared" si="294"/>
        <v>8.6504050333139713</v>
      </c>
      <c r="BB163" s="469">
        <f t="shared" si="295"/>
        <v>1.6480100016666668</v>
      </c>
      <c r="BC163" s="5">
        <f t="shared" si="258"/>
        <v>0.13957372627495487</v>
      </c>
      <c r="BD163" s="469">
        <f t="shared" si="296"/>
        <v>22.802907315103887</v>
      </c>
      <c r="BF163" s="177">
        <f t="shared" si="265"/>
        <v>0.23487859282790366</v>
      </c>
      <c r="BG163" s="177">
        <f t="shared" si="261"/>
        <v>0.28057487669892867</v>
      </c>
      <c r="BI163" s="538">
        <f t="shared" si="236"/>
        <v>1.9308783679085655E-2</v>
      </c>
      <c r="BJ163" s="538">
        <f t="shared" si="237"/>
        <v>3.17276961563666E-2</v>
      </c>
      <c r="BK163" s="538">
        <f t="shared" si="238"/>
        <v>4.3749999999999995E-3</v>
      </c>
      <c r="BL163" s="538">
        <f t="shared" si="239"/>
        <v>1.7457108480000001E-2</v>
      </c>
      <c r="BM163">
        <f t="shared" si="240"/>
        <v>3.48E-3</v>
      </c>
      <c r="BN163">
        <f t="shared" si="297"/>
        <v>6.1250000000000006E-6</v>
      </c>
      <c r="BO163" s="538">
        <f t="shared" si="298"/>
        <v>7.9243702471530578E-2</v>
      </c>
      <c r="BP163" s="469">
        <f t="shared" si="243"/>
        <v>76.348588315452261</v>
      </c>
      <c r="BQ163" s="538">
        <f t="shared" si="299"/>
        <v>7.0563903868024469E-2</v>
      </c>
      <c r="BT163" s="469">
        <f t="shared" si="245"/>
        <v>70.563903868024468</v>
      </c>
      <c r="BU163" s="538">
        <f t="shared" si="246"/>
        <v>5.516795336881616E-3</v>
      </c>
      <c r="BV163" s="538">
        <f t="shared" si="247"/>
        <v>2.3616678430385704E-3</v>
      </c>
      <c r="BW163" s="538">
        <f t="shared" si="248"/>
        <v>0</v>
      </c>
      <c r="BX163" s="538"/>
      <c r="BY163" s="538">
        <f t="shared" si="249"/>
        <v>5.7664000000000014E-3</v>
      </c>
      <c r="BZ163" s="469">
        <f t="shared" si="250"/>
        <v>13.644863179920188</v>
      </c>
      <c r="CA163" s="177">
        <f t="shared" si="251"/>
        <v>0.16055735536339694</v>
      </c>
      <c r="CB163" s="5">
        <f t="shared" si="252"/>
        <v>1.6960000000000002</v>
      </c>
      <c r="CC163" s="177">
        <f t="shared" si="253"/>
        <v>0.91351877446739593</v>
      </c>
      <c r="CD163" s="5">
        <f t="shared" si="254"/>
        <v>91.351877446739593</v>
      </c>
      <c r="CG163" s="571">
        <f t="shared" si="300"/>
        <v>-50</v>
      </c>
      <c r="CH163">
        <f t="shared" si="301"/>
        <v>-50</v>
      </c>
    </row>
    <row r="164" spans="5:86" x14ac:dyDescent="0.25">
      <c r="E164" s="174">
        <v>54</v>
      </c>
      <c r="F164" s="221">
        <f t="shared" si="302"/>
        <v>0.10800000000000001</v>
      </c>
      <c r="G164" s="221"/>
      <c r="H164" s="221">
        <f t="shared" si="266"/>
        <v>1.7280000000000002</v>
      </c>
      <c r="I164" s="551">
        <f t="shared" si="267"/>
        <v>12</v>
      </c>
      <c r="J164" s="451">
        <f t="shared" si="268"/>
        <v>19.584</v>
      </c>
      <c r="K164" s="451">
        <f t="shared" si="269"/>
        <v>31.584</v>
      </c>
      <c r="L164" s="451"/>
      <c r="M164" s="221">
        <f t="shared" si="270"/>
        <v>0.62006079027355621</v>
      </c>
      <c r="N164" s="176">
        <f t="shared" si="271"/>
        <v>5.0626723404255323</v>
      </c>
      <c r="O164" s="176">
        <f t="shared" si="262"/>
        <v>1.7280000000000002</v>
      </c>
      <c r="P164" s="221">
        <f t="shared" si="272"/>
        <v>0.31641702127659577</v>
      </c>
      <c r="Q164" s="221">
        <f t="shared" si="273"/>
        <v>16</v>
      </c>
      <c r="R164" s="221"/>
      <c r="S164" s="176">
        <f t="shared" si="274"/>
        <v>65.048952902836845</v>
      </c>
      <c r="T164" s="176">
        <f t="shared" si="275"/>
        <v>16</v>
      </c>
      <c r="U164" s="221">
        <f t="shared" si="276"/>
        <v>0.51607843137254905</v>
      </c>
      <c r="V164" s="221">
        <f t="shared" si="277"/>
        <v>1.2901960784313729</v>
      </c>
      <c r="W164" s="221">
        <f t="shared" si="278"/>
        <v>0.79056132256824319</v>
      </c>
      <c r="X164" s="201">
        <f t="shared" si="279"/>
        <v>350</v>
      </c>
      <c r="Y164" s="451">
        <f t="shared" si="215"/>
        <v>350</v>
      </c>
      <c r="AA164" s="221">
        <f t="shared" si="280"/>
        <v>0.70864090316977857</v>
      </c>
      <c r="AB164" s="177">
        <f t="shared" si="281"/>
        <v>1.0855405992184108</v>
      </c>
      <c r="AC164" s="177">
        <f t="shared" si="282"/>
        <v>0.16154427883809541</v>
      </c>
      <c r="AD164" s="177"/>
      <c r="AE164" s="177">
        <f t="shared" si="283"/>
        <v>0.4595588235294118</v>
      </c>
      <c r="AF164" s="555">
        <f t="shared" si="284"/>
        <v>1305.6000000000001</v>
      </c>
      <c r="AG164" s="538">
        <f t="shared" si="285"/>
        <v>2.8952205882352939E-2</v>
      </c>
      <c r="AI164" s="177">
        <f t="shared" si="286"/>
        <v>0.57941842763732865</v>
      </c>
      <c r="AJ164" s="177">
        <f t="shared" si="287"/>
        <v>0.57941842763732865</v>
      </c>
      <c r="AK164" s="177">
        <f t="shared" si="288"/>
        <v>1.386278951758219</v>
      </c>
      <c r="AM164" s="555">
        <f t="shared" si="289"/>
        <v>108.00000000000001</v>
      </c>
      <c r="AN164" s="469">
        <f t="shared" si="290"/>
        <v>350</v>
      </c>
      <c r="AP164">
        <f t="shared" si="291"/>
        <v>108.00000000000001</v>
      </c>
      <c r="AQ164">
        <f t="shared" si="292"/>
        <v>350</v>
      </c>
      <c r="AS164" s="5">
        <f t="shared" si="263"/>
        <v>2.8571428571428572</v>
      </c>
      <c r="AT164" s="5">
        <f t="shared" si="293"/>
        <v>1.4485460690933218</v>
      </c>
      <c r="AU164" s="5">
        <f t="shared" si="230"/>
        <v>1.4085967880495354</v>
      </c>
      <c r="AV164" s="5"/>
      <c r="AW164" s="177">
        <f t="shared" si="231"/>
        <v>0.50699112418266268</v>
      </c>
      <c r="AX164" s="177">
        <f t="shared" si="259"/>
        <v>1.7625599999999999</v>
      </c>
      <c r="AY164" s="177">
        <f t="shared" si="260"/>
        <v>0.17139505658239718</v>
      </c>
      <c r="AZ164" s="177">
        <f t="shared" si="264"/>
        <v>10.283610479469456</v>
      </c>
      <c r="BA164" s="469">
        <f t="shared" si="294"/>
        <v>8.6504050333139713</v>
      </c>
      <c r="BB164" s="469">
        <f t="shared" si="295"/>
        <v>1.7046725400000002</v>
      </c>
      <c r="BC164" s="5">
        <f t="shared" si="258"/>
        <v>0.14085967880495354</v>
      </c>
      <c r="BD164" s="469">
        <f t="shared" si="296"/>
        <v>23.017548608792566</v>
      </c>
      <c r="BF164" s="177">
        <f t="shared" si="265"/>
        <v>0.23819456843985179</v>
      </c>
      <c r="BG164" s="177">
        <f t="shared" si="261"/>
        <v>0.28186444144628608</v>
      </c>
      <c r="BI164" s="538">
        <f t="shared" si="236"/>
        <v>1.9857828351986535E-2</v>
      </c>
      <c r="BJ164" s="538">
        <f t="shared" si="237"/>
        <v>3.202561533237043E-2</v>
      </c>
      <c r="BK164" s="538">
        <f t="shared" si="238"/>
        <v>4.3749999999999995E-3</v>
      </c>
      <c r="BL164" s="538">
        <f t="shared" si="239"/>
        <v>1.7457108480000001E-2</v>
      </c>
      <c r="BM164">
        <f t="shared" si="240"/>
        <v>3.48E-3</v>
      </c>
      <c r="BN164">
        <f t="shared" si="297"/>
        <v>6.1250000000000006E-6</v>
      </c>
      <c r="BO164" s="538">
        <f t="shared" si="298"/>
        <v>8.0176231208848592E-2</v>
      </c>
      <c r="BP164" s="469">
        <f t="shared" si="243"/>
        <v>77.195552164356954</v>
      </c>
      <c r="BQ164" s="538">
        <f t="shared" si="299"/>
        <v>7.1604969200397869E-2</v>
      </c>
      <c r="BT164" s="469">
        <f t="shared" si="245"/>
        <v>71.604969200397875</v>
      </c>
      <c r="BU164" s="538">
        <f t="shared" si="246"/>
        <v>5.6736652434247244E-3</v>
      </c>
      <c r="BV164" s="538">
        <f t="shared" si="247"/>
        <v>2.3834269005548049E-3</v>
      </c>
      <c r="BW164" s="538">
        <f t="shared" si="248"/>
        <v>0</v>
      </c>
      <c r="BX164" s="538"/>
      <c r="BY164" s="538">
        <f t="shared" si="249"/>
        <v>5.8751999999999988E-3</v>
      </c>
      <c r="BZ164" s="469">
        <f t="shared" si="250"/>
        <v>13.932292143979529</v>
      </c>
      <c r="CA164" s="177">
        <f t="shared" si="251"/>
        <v>0.16273281350873434</v>
      </c>
      <c r="CB164" s="5">
        <f t="shared" si="252"/>
        <v>1.7280000000000002</v>
      </c>
      <c r="CC164" s="177">
        <f t="shared" si="253"/>
        <v>0.91393135384013235</v>
      </c>
      <c r="CD164" s="5">
        <f t="shared" si="254"/>
        <v>91.393135384013235</v>
      </c>
      <c r="CG164" s="571">
        <f t="shared" si="300"/>
        <v>-50</v>
      </c>
      <c r="CH164">
        <f t="shared" si="301"/>
        <v>-50</v>
      </c>
    </row>
    <row r="165" spans="5:86" x14ac:dyDescent="0.25">
      <c r="E165" s="174">
        <v>55</v>
      </c>
      <c r="F165" s="221">
        <f t="shared" si="302"/>
        <v>0.11000000000000001</v>
      </c>
      <c r="G165" s="221"/>
      <c r="H165" s="221">
        <f t="shared" si="266"/>
        <v>1.7600000000000002</v>
      </c>
      <c r="I165" s="551">
        <f t="shared" si="267"/>
        <v>12</v>
      </c>
      <c r="J165" s="451">
        <f t="shared" si="268"/>
        <v>19.584</v>
      </c>
      <c r="K165" s="451">
        <f t="shared" si="269"/>
        <v>31.584</v>
      </c>
      <c r="L165" s="451"/>
      <c r="M165" s="221">
        <f t="shared" si="270"/>
        <v>0.62006079027355621</v>
      </c>
      <c r="N165" s="176">
        <f t="shared" si="271"/>
        <v>5.0626723404255323</v>
      </c>
      <c r="O165" s="176">
        <f t="shared" si="262"/>
        <v>1.7600000000000002</v>
      </c>
      <c r="P165" s="221">
        <f t="shared" si="272"/>
        <v>0.31641702127659577</v>
      </c>
      <c r="Q165" s="221">
        <f t="shared" si="273"/>
        <v>16</v>
      </c>
      <c r="R165" s="221"/>
      <c r="S165" s="176">
        <f t="shared" si="274"/>
        <v>63.68635866914687</v>
      </c>
      <c r="T165" s="176">
        <f t="shared" si="275"/>
        <v>16</v>
      </c>
      <c r="U165" s="221">
        <f t="shared" si="276"/>
        <v>0.5256354393609296</v>
      </c>
      <c r="V165" s="221">
        <f t="shared" si="277"/>
        <v>1.3140885984023238</v>
      </c>
      <c r="W165" s="221">
        <f t="shared" si="278"/>
        <v>0.80520134706024749</v>
      </c>
      <c r="X165" s="201">
        <f t="shared" si="279"/>
        <v>350</v>
      </c>
      <c r="Y165" s="451">
        <f t="shared" si="215"/>
        <v>350</v>
      </c>
      <c r="AA165" s="221">
        <f t="shared" si="280"/>
        <v>0.70864090316977857</v>
      </c>
      <c r="AB165" s="177">
        <f t="shared" si="281"/>
        <v>1.0855405992184108</v>
      </c>
      <c r="AC165" s="177">
        <f t="shared" si="282"/>
        <v>0.16154427883809541</v>
      </c>
      <c r="AD165" s="177"/>
      <c r="AE165" s="177">
        <f t="shared" si="283"/>
        <v>0.4595588235294118</v>
      </c>
      <c r="AF165" s="555">
        <f t="shared" si="284"/>
        <v>1329.7777777777781</v>
      </c>
      <c r="AG165" s="538">
        <f t="shared" si="285"/>
        <v>2.8952205882352939E-2</v>
      </c>
      <c r="AI165" s="177">
        <f t="shared" si="286"/>
        <v>0.58475880253558998</v>
      </c>
      <c r="AJ165" s="177">
        <f t="shared" si="287"/>
        <v>0.58475880253558998</v>
      </c>
      <c r="AK165" s="177">
        <f t="shared" si="288"/>
        <v>1.3898392016903933</v>
      </c>
      <c r="AM165" s="555">
        <f t="shared" si="289"/>
        <v>110.00000000000001</v>
      </c>
      <c r="AN165" s="469">
        <f t="shared" si="290"/>
        <v>350</v>
      </c>
      <c r="AP165">
        <f t="shared" si="291"/>
        <v>110.00000000000001</v>
      </c>
      <c r="AQ165">
        <f t="shared" si="292"/>
        <v>350</v>
      </c>
      <c r="AS165" s="5">
        <f t="shared" si="263"/>
        <v>2.8571428571428572</v>
      </c>
      <c r="AT165" s="5">
        <f t="shared" si="293"/>
        <v>1.4618970063389751</v>
      </c>
      <c r="AU165" s="5">
        <f t="shared" si="230"/>
        <v>1.3952458508038821</v>
      </c>
      <c r="AV165" s="5"/>
      <c r="AW165" s="177">
        <f t="shared" si="231"/>
        <v>0.51166395221864125</v>
      </c>
      <c r="AX165" s="177">
        <f t="shared" si="259"/>
        <v>1.7951999999999999</v>
      </c>
      <c r="AY165" s="177">
        <f t="shared" si="260"/>
        <v>0.17133528152135399</v>
      </c>
      <c r="AZ165" s="177">
        <f t="shared" si="264"/>
        <v>10.477701872373899</v>
      </c>
      <c r="BA165" s="469">
        <f t="shared" si="294"/>
        <v>8.6504050333139713</v>
      </c>
      <c r="BB165" s="469">
        <f t="shared" si="295"/>
        <v>1.7622820416666667</v>
      </c>
      <c r="BC165" s="5">
        <f t="shared" si="258"/>
        <v>0.14210837369298798</v>
      </c>
      <c r="BD165" s="469">
        <f t="shared" si="296"/>
        <v>23.226228679766972</v>
      </c>
      <c r="BF165" s="177">
        <f t="shared" si="265"/>
        <v>0.24149522681180025</v>
      </c>
      <c r="BG165" s="177">
        <f t="shared" si="261"/>
        <v>0.28311102282253181</v>
      </c>
      <c r="BI165" s="538">
        <f t="shared" si="236"/>
        <v>2.0411980600508993E-2</v>
      </c>
      <c r="BJ165" s="538">
        <f t="shared" si="237"/>
        <v>3.2320788533747133E-2</v>
      </c>
      <c r="BK165" s="538">
        <f t="shared" si="238"/>
        <v>4.3749999999999995E-3</v>
      </c>
      <c r="BL165" s="538">
        <f t="shared" si="239"/>
        <v>1.7457108480000001E-2</v>
      </c>
      <c r="BM165">
        <f t="shared" si="240"/>
        <v>3.48E-3</v>
      </c>
      <c r="BN165">
        <f t="shared" si="297"/>
        <v>6.1250000000000006E-6</v>
      </c>
      <c r="BO165" s="538">
        <f t="shared" si="298"/>
        <v>8.1112088967629309E-2</v>
      </c>
      <c r="BP165" s="469">
        <f t="shared" si="243"/>
        <v>78.044877614256123</v>
      </c>
      <c r="BQ165" s="538">
        <f t="shared" si="299"/>
        <v>7.2638007175062899E-2</v>
      </c>
      <c r="BT165" s="469">
        <f t="shared" si="245"/>
        <v>72.638007175062896</v>
      </c>
      <c r="BU165" s="538">
        <f t="shared" si="246"/>
        <v>5.8319944572882846E-3</v>
      </c>
      <c r="BV165" s="538">
        <f t="shared" si="247"/>
        <v>2.4045555373086039E-3</v>
      </c>
      <c r="BW165" s="538">
        <f t="shared" si="248"/>
        <v>0</v>
      </c>
      <c r="BX165" s="538"/>
      <c r="BY165" s="538">
        <f t="shared" si="249"/>
        <v>5.9839999999999997E-3</v>
      </c>
      <c r="BZ165" s="469">
        <f t="shared" si="250"/>
        <v>14.220549994596889</v>
      </c>
      <c r="CA165" s="177">
        <f t="shared" si="251"/>
        <v>0.16490343478391592</v>
      </c>
      <c r="CB165" s="5">
        <f t="shared" si="252"/>
        <v>1.7600000000000002</v>
      </c>
      <c r="CC165" s="177">
        <f t="shared" si="253"/>
        <v>0.91433158058527364</v>
      </c>
      <c r="CD165" s="5">
        <f t="shared" si="254"/>
        <v>91.433158058527368</v>
      </c>
      <c r="CG165" s="571">
        <f t="shared" si="300"/>
        <v>-50</v>
      </c>
      <c r="CH165">
        <f t="shared" si="301"/>
        <v>-50</v>
      </c>
    </row>
    <row r="166" spans="5:86" x14ac:dyDescent="0.25">
      <c r="E166" s="174">
        <v>56</v>
      </c>
      <c r="F166" s="221">
        <f t="shared" si="302"/>
        <v>0.11200000000000002</v>
      </c>
      <c r="G166" s="221"/>
      <c r="H166" s="221">
        <f t="shared" si="266"/>
        <v>1.7920000000000003</v>
      </c>
      <c r="I166" s="551">
        <f t="shared" si="267"/>
        <v>12</v>
      </c>
      <c r="J166" s="451">
        <f t="shared" si="268"/>
        <v>19.584</v>
      </c>
      <c r="K166" s="451">
        <f t="shared" si="269"/>
        <v>31.584</v>
      </c>
      <c r="L166" s="451"/>
      <c r="M166" s="221">
        <f t="shared" si="270"/>
        <v>0.62006079027355621</v>
      </c>
      <c r="N166" s="176">
        <f t="shared" si="271"/>
        <v>5.0626723404255323</v>
      </c>
      <c r="O166" s="176">
        <f t="shared" si="262"/>
        <v>1.7920000000000003</v>
      </c>
      <c r="P166" s="221">
        <f t="shared" si="272"/>
        <v>0.31641702127659577</v>
      </c>
      <c r="Q166" s="221">
        <f t="shared" si="273"/>
        <v>16</v>
      </c>
      <c r="R166" s="221"/>
      <c r="S166" s="176">
        <f t="shared" si="274"/>
        <v>62.372471382940226</v>
      </c>
      <c r="T166" s="176">
        <f t="shared" si="275"/>
        <v>16</v>
      </c>
      <c r="U166" s="221">
        <f t="shared" si="276"/>
        <v>0.53519244734931015</v>
      </c>
      <c r="V166" s="221">
        <f t="shared" si="277"/>
        <v>1.3379811183732755</v>
      </c>
      <c r="W166" s="221">
        <f t="shared" si="278"/>
        <v>0.81984137155225201</v>
      </c>
      <c r="X166" s="201">
        <f t="shared" si="279"/>
        <v>350</v>
      </c>
      <c r="Y166" s="451">
        <f t="shared" si="215"/>
        <v>350</v>
      </c>
      <c r="AA166" s="221">
        <f t="shared" si="280"/>
        <v>0.70864090316977857</v>
      </c>
      <c r="AB166" s="177">
        <f t="shared" si="281"/>
        <v>1.0855405992184108</v>
      </c>
      <c r="AC166" s="177">
        <f t="shared" si="282"/>
        <v>0.16154427883809541</v>
      </c>
      <c r="AD166" s="177"/>
      <c r="AE166" s="177">
        <f t="shared" si="283"/>
        <v>0.4595588235294118</v>
      </c>
      <c r="AF166" s="555">
        <f t="shared" si="284"/>
        <v>1353.955555555556</v>
      </c>
      <c r="AG166" s="538">
        <f t="shared" si="285"/>
        <v>2.8952205882352939E-2</v>
      </c>
      <c r="AI166" s="177">
        <f t="shared" si="286"/>
        <v>0.59005084526674478</v>
      </c>
      <c r="AJ166" s="177">
        <f t="shared" si="287"/>
        <v>0.59005084526674478</v>
      </c>
      <c r="AK166" s="177">
        <f t="shared" si="288"/>
        <v>1.3933672301778297</v>
      </c>
      <c r="AM166" s="555">
        <f t="shared" si="289"/>
        <v>112.00000000000001</v>
      </c>
      <c r="AN166" s="469">
        <f t="shared" si="290"/>
        <v>350</v>
      </c>
      <c r="AP166">
        <f t="shared" si="291"/>
        <v>112.00000000000001</v>
      </c>
      <c r="AQ166">
        <f t="shared" si="292"/>
        <v>350</v>
      </c>
      <c r="AS166" s="5">
        <f t="shared" si="263"/>
        <v>2.8571428571428572</v>
      </c>
      <c r="AT166" s="5">
        <f t="shared" si="293"/>
        <v>1.475127113166862</v>
      </c>
      <c r="AU166" s="5">
        <f t="shared" si="230"/>
        <v>1.3820157439759952</v>
      </c>
      <c r="AV166" s="5"/>
      <c r="AW166" s="177">
        <f t="shared" si="231"/>
        <v>0.51629448960840163</v>
      </c>
      <c r="AX166" s="177">
        <f t="shared" si="259"/>
        <v>1.8278399999999999</v>
      </c>
      <c r="AY166" s="177">
        <f t="shared" si="260"/>
        <v>0.17124650716004688</v>
      </c>
      <c r="AZ166" s="177">
        <f t="shared" si="264"/>
        <v>10.673735951248931</v>
      </c>
      <c r="BA166" s="469">
        <f t="shared" si="294"/>
        <v>8.6504050333139713</v>
      </c>
      <c r="BB166" s="469">
        <f t="shared" si="295"/>
        <v>1.8208385066666666</v>
      </c>
      <c r="BC166" s="5">
        <f t="shared" si="258"/>
        <v>0.14332015122714026</v>
      </c>
      <c r="BD166" s="469">
        <f t="shared" si="296"/>
        <v>23.429001974120219</v>
      </c>
      <c r="BF166" s="177">
        <f t="shared" si="265"/>
        <v>0.24478091531140053</v>
      </c>
      <c r="BG166" s="177">
        <f t="shared" si="261"/>
        <v>0.28431552373905061</v>
      </c>
      <c r="BI166" s="538">
        <f t="shared" si="236"/>
        <v>2.0971193775240461E-2</v>
      </c>
      <c r="BJ166" s="538">
        <f t="shared" si="237"/>
        <v>3.2613290319583516E-2</v>
      </c>
      <c r="BK166" s="538">
        <f t="shared" si="238"/>
        <v>4.3749999999999995E-3</v>
      </c>
      <c r="BL166" s="538">
        <f t="shared" si="239"/>
        <v>1.7457108480000001E-2</v>
      </c>
      <c r="BM166">
        <f t="shared" si="240"/>
        <v>3.48E-3</v>
      </c>
      <c r="BN166">
        <f t="shared" si="297"/>
        <v>6.1250000000000006E-6</v>
      </c>
      <c r="BO166" s="538">
        <f t="shared" si="298"/>
        <v>8.2051300415919737E-2</v>
      </c>
      <c r="BP166" s="469">
        <f t="shared" si="243"/>
        <v>78.89659257482397</v>
      </c>
      <c r="BQ166" s="538">
        <f t="shared" si="299"/>
        <v>7.3663091108902082E-2</v>
      </c>
      <c r="BT166" s="469">
        <f t="shared" si="245"/>
        <v>73.66309110890208</v>
      </c>
      <c r="BU166" s="538">
        <f t="shared" si="246"/>
        <v>5.9917696500687047E-3</v>
      </c>
      <c r="BV166" s="538">
        <f t="shared" si="247"/>
        <v>2.4250595111703194E-3</v>
      </c>
      <c r="BW166" s="538">
        <f t="shared" si="248"/>
        <v>0</v>
      </c>
      <c r="BX166" s="538"/>
      <c r="BY166" s="538">
        <f t="shared" si="249"/>
        <v>6.0927999999999998E-3</v>
      </c>
      <c r="BZ166" s="469">
        <f t="shared" si="250"/>
        <v>14.509629161239026</v>
      </c>
      <c r="CA166" s="177">
        <f t="shared" si="251"/>
        <v>0.16706931284496507</v>
      </c>
      <c r="CB166" s="5">
        <f t="shared" si="252"/>
        <v>1.7920000000000003</v>
      </c>
      <c r="CC166" s="177">
        <f t="shared" si="253"/>
        <v>0.91472006031152275</v>
      </c>
      <c r="CD166" s="5">
        <f t="shared" si="254"/>
        <v>91.472006031152276</v>
      </c>
      <c r="CG166" s="571">
        <f t="shared" si="300"/>
        <v>-50</v>
      </c>
      <c r="CH166">
        <f t="shared" si="301"/>
        <v>-50</v>
      </c>
    </row>
    <row r="167" spans="5:86" x14ac:dyDescent="0.25">
      <c r="E167" s="174">
        <v>57</v>
      </c>
      <c r="F167" s="221">
        <f t="shared" si="302"/>
        <v>0.11399999999999999</v>
      </c>
      <c r="G167" s="221"/>
      <c r="H167" s="221">
        <f t="shared" si="266"/>
        <v>1.8239999999999998</v>
      </c>
      <c r="I167" s="551">
        <f t="shared" si="267"/>
        <v>12</v>
      </c>
      <c r="J167" s="451">
        <f t="shared" si="268"/>
        <v>19.584</v>
      </c>
      <c r="K167" s="451">
        <f t="shared" si="269"/>
        <v>31.584</v>
      </c>
      <c r="L167" s="451"/>
      <c r="M167" s="221">
        <f t="shared" si="270"/>
        <v>0.62006079027355621</v>
      </c>
      <c r="N167" s="176">
        <f t="shared" si="271"/>
        <v>5.0626723404255323</v>
      </c>
      <c r="O167" s="176">
        <f t="shared" si="262"/>
        <v>1.8239999999999998</v>
      </c>
      <c r="P167" s="221">
        <f t="shared" si="272"/>
        <v>0.31641702127659577</v>
      </c>
      <c r="Q167" s="221">
        <f t="shared" si="273"/>
        <v>16</v>
      </c>
      <c r="R167" s="221"/>
      <c r="S167" s="176">
        <f t="shared" si="274"/>
        <v>61.104727861851508</v>
      </c>
      <c r="T167" s="176">
        <f t="shared" si="275"/>
        <v>16</v>
      </c>
      <c r="U167" s="221">
        <f t="shared" si="276"/>
        <v>0.54474945533769059</v>
      </c>
      <c r="V167" s="221">
        <f t="shared" si="277"/>
        <v>1.3618736383442265</v>
      </c>
      <c r="W167" s="221">
        <f t="shared" si="278"/>
        <v>0.83448139604425642</v>
      </c>
      <c r="X167" s="201">
        <f t="shared" si="279"/>
        <v>350</v>
      </c>
      <c r="Y167" s="451">
        <f t="shared" si="215"/>
        <v>350</v>
      </c>
      <c r="AA167" s="221">
        <f t="shared" si="280"/>
        <v>0.70864090316977857</v>
      </c>
      <c r="AB167" s="177">
        <f t="shared" si="281"/>
        <v>1.0855405992184108</v>
      </c>
      <c r="AC167" s="177">
        <f t="shared" si="282"/>
        <v>0.16154427883809541</v>
      </c>
      <c r="AD167" s="177"/>
      <c r="AE167" s="177">
        <f t="shared" si="283"/>
        <v>0.4595588235294118</v>
      </c>
      <c r="AF167" s="555">
        <f t="shared" si="284"/>
        <v>1378.1333333333332</v>
      </c>
      <c r="AG167" s="538">
        <f t="shared" si="285"/>
        <v>2.8952205882352939E-2</v>
      </c>
      <c r="AI167" s="177">
        <f t="shared" si="286"/>
        <v>0.59529584481763587</v>
      </c>
      <c r="AJ167" s="177">
        <f t="shared" si="287"/>
        <v>0.59529584481763587</v>
      </c>
      <c r="AK167" s="177">
        <f t="shared" si="288"/>
        <v>1.3968638965450906</v>
      </c>
      <c r="AM167" s="555">
        <f t="shared" si="289"/>
        <v>113.99999999999999</v>
      </c>
      <c r="AN167" s="469">
        <f t="shared" si="290"/>
        <v>350</v>
      </c>
      <c r="AP167">
        <f t="shared" si="291"/>
        <v>113.99999999999999</v>
      </c>
      <c r="AQ167">
        <f t="shared" si="292"/>
        <v>350</v>
      </c>
      <c r="AS167" s="5">
        <f t="shared" si="263"/>
        <v>2.8571428571428572</v>
      </c>
      <c r="AT167" s="5">
        <f t="shared" si="293"/>
        <v>1.4882396120440897</v>
      </c>
      <c r="AU167" s="5">
        <f t="shared" si="230"/>
        <v>1.3689032450987675</v>
      </c>
      <c r="AV167" s="5"/>
      <c r="AW167" s="177">
        <f t="shared" si="231"/>
        <v>0.52088386421543142</v>
      </c>
      <c r="AX167" s="177">
        <f t="shared" si="259"/>
        <v>1.8604799999999997</v>
      </c>
      <c r="AY167" s="177">
        <f t="shared" si="260"/>
        <v>0.17112950689058154</v>
      </c>
      <c r="AZ167" s="177">
        <f t="shared" si="264"/>
        <v>10.871766265238943</v>
      </c>
      <c r="BA167" s="469">
        <f t="shared" si="294"/>
        <v>8.6504050333139713</v>
      </c>
      <c r="BB167" s="469">
        <f t="shared" si="295"/>
        <v>1.8803419349999992</v>
      </c>
      <c r="BC167" s="5">
        <f t="shared" si="258"/>
        <v>0.1444953425382032</v>
      </c>
      <c r="BD167" s="469">
        <f t="shared" si="296"/>
        <v>23.625921472779186</v>
      </c>
      <c r="BF167" s="177">
        <f t="shared" si="265"/>
        <v>0.24805196737851293</v>
      </c>
      <c r="BG167" s="177">
        <f t="shared" si="261"/>
        <v>0.28547880394544767</v>
      </c>
      <c r="BI167" s="538">
        <f t="shared" si="236"/>
        <v>2.1535422482122792E-2</v>
      </c>
      <c r="BJ167" s="538">
        <f t="shared" si="237"/>
        <v>3.2903191934760365E-2</v>
      </c>
      <c r="BK167" s="538">
        <f t="shared" si="238"/>
        <v>4.3749999999999995E-3</v>
      </c>
      <c r="BL167" s="538">
        <f t="shared" si="239"/>
        <v>1.7457108480000001E-2</v>
      </c>
      <c r="BM167">
        <f t="shared" si="240"/>
        <v>3.48E-3</v>
      </c>
      <c r="BN167">
        <f t="shared" si="297"/>
        <v>6.1250000000000006E-6</v>
      </c>
      <c r="BO167" s="538">
        <f t="shared" si="298"/>
        <v>8.2993888340783084E-2</v>
      </c>
      <c r="BP167" s="469">
        <f t="shared" si="243"/>
        <v>79.750722896883147</v>
      </c>
      <c r="BQ167" s="538">
        <f t="shared" si="299"/>
        <v>7.4680292345811111E-2</v>
      </c>
      <c r="BT167" s="469">
        <f t="shared" si="245"/>
        <v>74.680292345811111</v>
      </c>
      <c r="BU167" s="538">
        <f t="shared" si="246"/>
        <v>6.1529778520350844E-3</v>
      </c>
      <c r="BV167" s="538">
        <f t="shared" si="247"/>
        <v>2.4449444250637005E-3</v>
      </c>
      <c r="BW167" s="538">
        <f t="shared" si="248"/>
        <v>0</v>
      </c>
      <c r="BX167" s="538"/>
      <c r="BY167" s="538">
        <f t="shared" si="249"/>
        <v>6.201599999999999E-3</v>
      </c>
      <c r="BZ167" s="469">
        <f t="shared" si="250"/>
        <v>14.799522277098784</v>
      </c>
      <c r="CA167" s="177">
        <f t="shared" si="251"/>
        <v>0.16923053751979306</v>
      </c>
      <c r="CB167" s="5">
        <f t="shared" si="252"/>
        <v>1.8239999999999998</v>
      </c>
      <c r="CC167" s="177">
        <f t="shared" si="253"/>
        <v>0.91509735861744856</v>
      </c>
      <c r="CD167" s="5">
        <f t="shared" si="254"/>
        <v>91.509735861744858</v>
      </c>
      <c r="CG167" s="571">
        <f t="shared" si="300"/>
        <v>-50</v>
      </c>
      <c r="CH167">
        <f t="shared" si="301"/>
        <v>-50</v>
      </c>
    </row>
    <row r="168" spans="5:86" x14ac:dyDescent="0.25">
      <c r="E168" s="174">
        <v>58</v>
      </c>
      <c r="F168" s="221">
        <f t="shared" si="302"/>
        <v>0.11599999999999999</v>
      </c>
      <c r="G168" s="221"/>
      <c r="H168" s="221">
        <f t="shared" si="266"/>
        <v>1.8559999999999999</v>
      </c>
      <c r="I168" s="551">
        <f t="shared" si="267"/>
        <v>12</v>
      </c>
      <c r="J168" s="451">
        <f t="shared" si="268"/>
        <v>19.584</v>
      </c>
      <c r="K168" s="451">
        <f t="shared" si="269"/>
        <v>31.584</v>
      </c>
      <c r="L168" s="451"/>
      <c r="M168" s="221">
        <f t="shared" si="270"/>
        <v>0.62006079027355621</v>
      </c>
      <c r="N168" s="176">
        <f t="shared" si="271"/>
        <v>5.0626723404255323</v>
      </c>
      <c r="O168" s="176">
        <f t="shared" si="262"/>
        <v>1.8559999999999999</v>
      </c>
      <c r="P168" s="221">
        <f t="shared" si="272"/>
        <v>0.31641702127659577</v>
      </c>
      <c r="Q168" s="221">
        <f t="shared" si="273"/>
        <v>16</v>
      </c>
      <c r="R168" s="221"/>
      <c r="S168" s="176">
        <f t="shared" si="274"/>
        <v>59.880741698170134</v>
      </c>
      <c r="T168" s="176">
        <f t="shared" si="275"/>
        <v>16</v>
      </c>
      <c r="U168" s="221">
        <f t="shared" si="276"/>
        <v>0.55430646332607114</v>
      </c>
      <c r="V168" s="221">
        <f t="shared" si="277"/>
        <v>1.3857661583151779</v>
      </c>
      <c r="W168" s="221">
        <f t="shared" si="278"/>
        <v>0.84912142053626094</v>
      </c>
      <c r="X168" s="201">
        <f t="shared" si="279"/>
        <v>350</v>
      </c>
      <c r="Y168" s="451">
        <f t="shared" si="215"/>
        <v>350</v>
      </c>
      <c r="AA168" s="221">
        <f t="shared" si="280"/>
        <v>0.70864090316977857</v>
      </c>
      <c r="AB168" s="177">
        <f t="shared" si="281"/>
        <v>1.0855405992184108</v>
      </c>
      <c r="AC168" s="177">
        <f t="shared" si="282"/>
        <v>0.16154427883809541</v>
      </c>
      <c r="AD168" s="177"/>
      <c r="AE168" s="177">
        <f t="shared" si="283"/>
        <v>0.4595588235294118</v>
      </c>
      <c r="AF168" s="555">
        <f t="shared" si="284"/>
        <v>1402.3111111111111</v>
      </c>
      <c r="AG168" s="538">
        <f t="shared" si="285"/>
        <v>2.8952205882352939E-2</v>
      </c>
      <c r="AI168" s="177">
        <f t="shared" si="286"/>
        <v>0.60049503387978631</v>
      </c>
      <c r="AJ168" s="177">
        <f t="shared" si="287"/>
        <v>0.60049503387978631</v>
      </c>
      <c r="AK168" s="177">
        <f t="shared" si="288"/>
        <v>1.4003300225865243</v>
      </c>
      <c r="AM168" s="555">
        <f t="shared" si="289"/>
        <v>115.99999999999999</v>
      </c>
      <c r="AN168" s="469">
        <f t="shared" si="290"/>
        <v>350</v>
      </c>
      <c r="AP168">
        <f t="shared" si="291"/>
        <v>115.99999999999999</v>
      </c>
      <c r="AQ168">
        <f t="shared" si="292"/>
        <v>350</v>
      </c>
      <c r="AS168" s="5">
        <f t="shared" si="263"/>
        <v>2.8571428571428572</v>
      </c>
      <c r="AT168" s="5">
        <f t="shared" si="293"/>
        <v>1.5012375846994657</v>
      </c>
      <c r="AU168" s="5">
        <f t="shared" si="230"/>
        <v>1.3559052724433915</v>
      </c>
      <c r="AV168" s="5"/>
      <c r="AW168" s="177">
        <f t="shared" si="231"/>
        <v>0.52543315464481299</v>
      </c>
      <c r="AX168" s="177">
        <f t="shared" si="259"/>
        <v>1.8931200000000001</v>
      </c>
      <c r="AY168" s="177">
        <f t="shared" si="260"/>
        <v>0.17098502032787177</v>
      </c>
      <c r="AZ168" s="177">
        <f t="shared" si="264"/>
        <v>11.071847091457801</v>
      </c>
      <c r="BA168" s="469">
        <f t="shared" si="294"/>
        <v>8.6504050333139713</v>
      </c>
      <c r="BB168" s="469">
        <f t="shared" si="295"/>
        <v>1.9407923266666658</v>
      </c>
      <c r="BC168" s="5">
        <f t="shared" si="258"/>
        <v>0.14563427000317908</v>
      </c>
      <c r="BD168" s="469">
        <f t="shared" si="296"/>
        <v>23.817038756064211</v>
      </c>
      <c r="BF168" s="177">
        <f t="shared" si="265"/>
        <v>0.25130870331775229</v>
      </c>
      <c r="BG168" s="177">
        <f t="shared" si="261"/>
        <v>0.28660168258364616</v>
      </c>
      <c r="BI168" s="538">
        <f t="shared" si="236"/>
        <v>2.2104622527137512E-2</v>
      </c>
      <c r="BJ168" s="538">
        <f t="shared" si="237"/>
        <v>3.319056151260355E-2</v>
      </c>
      <c r="BK168" s="538">
        <f t="shared" si="238"/>
        <v>4.3749999999999995E-3</v>
      </c>
      <c r="BL168" s="538">
        <f t="shared" si="239"/>
        <v>1.7457108480000001E-2</v>
      </c>
      <c r="BM168">
        <f t="shared" si="240"/>
        <v>3.48E-3</v>
      </c>
      <c r="BN168">
        <f t="shared" si="297"/>
        <v>6.1250000000000006E-6</v>
      </c>
      <c r="BO168" s="538">
        <f t="shared" si="298"/>
        <v>8.3939873787927777E-2</v>
      </c>
      <c r="BP168" s="469">
        <f t="shared" si="243"/>
        <v>80.607292519741051</v>
      </c>
      <c r="BQ168" s="538">
        <f t="shared" si="299"/>
        <v>7.5689680343634838E-2</v>
      </c>
      <c r="BT168" s="469">
        <f t="shared" si="245"/>
        <v>75.689680343634834</v>
      </c>
      <c r="BU168" s="538">
        <f t="shared" si="246"/>
        <v>6.3156064363250044E-3</v>
      </c>
      <c r="BV168" s="538">
        <f t="shared" si="247"/>
        <v>2.4642157337933122E-3</v>
      </c>
      <c r="BW168" s="538">
        <f t="shared" si="248"/>
        <v>0</v>
      </c>
      <c r="BX168" s="538"/>
      <c r="BY168" s="538">
        <f t="shared" si="249"/>
        <v>6.3104000000000007E-3</v>
      </c>
      <c r="BZ168" s="469">
        <f t="shared" si="250"/>
        <v>15.090222170118317</v>
      </c>
      <c r="CA168" s="177">
        <f t="shared" si="251"/>
        <v>0.17138719503349423</v>
      </c>
      <c r="CB168" s="5">
        <f t="shared" si="252"/>
        <v>1.8559999999999999</v>
      </c>
      <c r="CC168" s="177">
        <f t="shared" si="253"/>
        <v>0.91546400438291076</v>
      </c>
      <c r="CD168" s="5">
        <f t="shared" si="254"/>
        <v>91.546400438291073</v>
      </c>
      <c r="CG168" s="571">
        <f t="shared" si="300"/>
        <v>-50</v>
      </c>
      <c r="CH168">
        <f t="shared" si="301"/>
        <v>-50</v>
      </c>
    </row>
    <row r="169" spans="5:86" x14ac:dyDescent="0.25">
      <c r="E169" s="174">
        <v>59</v>
      </c>
      <c r="F169" s="221">
        <f t="shared" si="302"/>
        <v>0.11799999999999999</v>
      </c>
      <c r="G169" s="221"/>
      <c r="H169" s="221">
        <f t="shared" si="266"/>
        <v>1.8879999999999999</v>
      </c>
      <c r="I169" s="551">
        <f t="shared" si="267"/>
        <v>12</v>
      </c>
      <c r="J169" s="451">
        <f t="shared" si="268"/>
        <v>19.584</v>
      </c>
      <c r="K169" s="451">
        <f t="shared" si="269"/>
        <v>31.584</v>
      </c>
      <c r="L169" s="451"/>
      <c r="M169" s="221">
        <f t="shared" si="270"/>
        <v>0.62006079027355621</v>
      </c>
      <c r="N169" s="176">
        <f t="shared" si="271"/>
        <v>5.0626723404255323</v>
      </c>
      <c r="O169" s="176">
        <f t="shared" si="262"/>
        <v>1.8879999999999999</v>
      </c>
      <c r="P169" s="221">
        <f t="shared" si="272"/>
        <v>0.31641702127659577</v>
      </c>
      <c r="Q169" s="221">
        <f t="shared" si="273"/>
        <v>16</v>
      </c>
      <c r="R169" s="221"/>
      <c r="S169" s="176">
        <f t="shared" si="274"/>
        <v>58.698288277979067</v>
      </c>
      <c r="T169" s="176">
        <f t="shared" si="275"/>
        <v>16</v>
      </c>
      <c r="U169" s="221">
        <f t="shared" si="276"/>
        <v>0.56386347131445158</v>
      </c>
      <c r="V169" s="221">
        <f t="shared" si="277"/>
        <v>1.4096586782861291</v>
      </c>
      <c r="W169" s="221">
        <f t="shared" si="278"/>
        <v>0.86376144502826535</v>
      </c>
      <c r="X169" s="201">
        <f t="shared" si="279"/>
        <v>350</v>
      </c>
      <c r="Y169" s="451">
        <f t="shared" si="215"/>
        <v>350</v>
      </c>
      <c r="AA169" s="221">
        <f t="shared" si="280"/>
        <v>0.70864090316977857</v>
      </c>
      <c r="AB169" s="177">
        <f t="shared" si="281"/>
        <v>1.0855405992184108</v>
      </c>
      <c r="AC169" s="177">
        <f t="shared" si="282"/>
        <v>0.16154427883809541</v>
      </c>
      <c r="AD169" s="177"/>
      <c r="AE169" s="177">
        <f t="shared" si="283"/>
        <v>0.4595588235294118</v>
      </c>
      <c r="AF169" s="555">
        <f t="shared" si="284"/>
        <v>1426.4888888888891</v>
      </c>
      <c r="AG169" s="538">
        <f t="shared" si="285"/>
        <v>2.8952205882352939E-2</v>
      </c>
      <c r="AI169" s="177">
        <f t="shared" si="286"/>
        <v>0.6056495922325289</v>
      </c>
      <c r="AJ169" s="177">
        <f t="shared" si="287"/>
        <v>0.6056495922325289</v>
      </c>
      <c r="AK169" s="177">
        <f t="shared" si="288"/>
        <v>1.4037663948216859</v>
      </c>
      <c r="AM169" s="555">
        <f t="shared" si="289"/>
        <v>118</v>
      </c>
      <c r="AN169" s="469">
        <f t="shared" si="290"/>
        <v>350</v>
      </c>
      <c r="AP169">
        <f t="shared" si="291"/>
        <v>118</v>
      </c>
      <c r="AQ169">
        <f t="shared" si="292"/>
        <v>350</v>
      </c>
      <c r="AS169" s="5">
        <f t="shared" si="263"/>
        <v>2.8571428571428572</v>
      </c>
      <c r="AT169" s="5">
        <f t="shared" si="293"/>
        <v>1.514123980581322</v>
      </c>
      <c r="AU169" s="5">
        <f t="shared" si="230"/>
        <v>1.3430188765615352</v>
      </c>
      <c r="AV169" s="5"/>
      <c r="AW169" s="177">
        <f t="shared" si="231"/>
        <v>0.52994339320346273</v>
      </c>
      <c r="AX169" s="177">
        <f t="shared" si="259"/>
        <v>1.9257599999999997</v>
      </c>
      <c r="AY169" s="177">
        <f t="shared" si="260"/>
        <v>0.17081375533951737</v>
      </c>
      <c r="AZ169" s="177">
        <f t="shared" si="264"/>
        <v>11.274033500242821</v>
      </c>
      <c r="BA169" s="469">
        <f t="shared" si="294"/>
        <v>8.6504050333139713</v>
      </c>
      <c r="BB169" s="469">
        <f t="shared" si="295"/>
        <v>2.0021896816666658</v>
      </c>
      <c r="BC169" s="5">
        <f t="shared" si="258"/>
        <v>0.14673724762431584</v>
      </c>
      <c r="BD169" s="469">
        <f t="shared" si="296"/>
        <v>24.002404064334986</v>
      </c>
      <c r="BF169" s="177">
        <f t="shared" si="265"/>
        <v>0.25455143103307071</v>
      </c>
      <c r="BG169" s="177">
        <f t="shared" si="261"/>
        <v>0.28768494054306792</v>
      </c>
      <c r="BI169" s="538">
        <f t="shared" si="236"/>
        <v>2.2678750864344451E-2</v>
      </c>
      <c r="BJ169" s="538">
        <f t="shared" si="237"/>
        <v>3.3475464261876343E-2</v>
      </c>
      <c r="BK169" s="538">
        <f t="shared" si="238"/>
        <v>4.3749999999999995E-3</v>
      </c>
      <c r="BL169" s="538">
        <f t="shared" si="239"/>
        <v>1.7457108480000001E-2</v>
      </c>
      <c r="BM169">
        <f t="shared" si="240"/>
        <v>3.48E-3</v>
      </c>
      <c r="BN169">
        <f t="shared" si="297"/>
        <v>6.1250000000000006E-6</v>
      </c>
      <c r="BO169" s="538">
        <f t="shared" si="298"/>
        <v>8.4889276189499305E-2</v>
      </c>
      <c r="BP169" s="469">
        <f t="shared" si="243"/>
        <v>81.466323606220783</v>
      </c>
      <c r="BQ169" s="538">
        <f t="shared" si="299"/>
        <v>7.6691322755832569E-2</v>
      </c>
      <c r="BT169" s="469">
        <f t="shared" si="245"/>
        <v>76.691322755832573</v>
      </c>
      <c r="BU169" s="538">
        <f t="shared" si="246"/>
        <v>6.479643104098415E-3</v>
      </c>
      <c r="BV169" s="538">
        <f t="shared" si="247"/>
        <v>2.4828787504580559E-3</v>
      </c>
      <c r="BW169" s="538">
        <f t="shared" si="248"/>
        <v>0</v>
      </c>
      <c r="BX169" s="538"/>
      <c r="BY169" s="538">
        <f t="shared" si="249"/>
        <v>6.419199999999999E-3</v>
      </c>
      <c r="BZ169" s="469">
        <f t="shared" si="250"/>
        <v>15.381721854556472</v>
      </c>
      <c r="CA169" s="177">
        <f t="shared" si="251"/>
        <v>0.17353936821660981</v>
      </c>
      <c r="CB169" s="5">
        <f t="shared" si="252"/>
        <v>1.8879999999999999</v>
      </c>
      <c r="CC169" s="177">
        <f t="shared" si="253"/>
        <v>0.9158204927385234</v>
      </c>
      <c r="CD169" s="5">
        <f t="shared" si="254"/>
        <v>91.582049273852334</v>
      </c>
      <c r="CG169" s="571">
        <f t="shared" si="300"/>
        <v>-50</v>
      </c>
      <c r="CH169">
        <f t="shared" si="301"/>
        <v>-50</v>
      </c>
    </row>
    <row r="170" spans="5:86" x14ac:dyDescent="0.25">
      <c r="E170" s="174">
        <v>60</v>
      </c>
      <c r="F170" s="221">
        <f t="shared" si="302"/>
        <v>0.12</v>
      </c>
      <c r="G170" s="221"/>
      <c r="H170" s="221">
        <f t="shared" si="266"/>
        <v>1.92</v>
      </c>
      <c r="I170" s="551">
        <f t="shared" si="267"/>
        <v>12</v>
      </c>
      <c r="J170" s="451">
        <f t="shared" si="268"/>
        <v>19.584</v>
      </c>
      <c r="K170" s="451">
        <f t="shared" si="269"/>
        <v>31.584</v>
      </c>
      <c r="L170" s="451"/>
      <c r="M170" s="221">
        <f t="shared" si="270"/>
        <v>0.62006079027355621</v>
      </c>
      <c r="N170" s="176">
        <f t="shared" si="271"/>
        <v>5.0626723404255323</v>
      </c>
      <c r="O170" s="176">
        <f t="shared" si="262"/>
        <v>1.92</v>
      </c>
      <c r="P170" s="221">
        <f t="shared" si="272"/>
        <v>0.31641702127659577</v>
      </c>
      <c r="Q170" s="221">
        <f t="shared" si="273"/>
        <v>16</v>
      </c>
      <c r="R170" s="221"/>
      <c r="S170" s="176">
        <f t="shared" si="274"/>
        <v>57.555291298379849</v>
      </c>
      <c r="T170" s="176">
        <f t="shared" si="275"/>
        <v>16</v>
      </c>
      <c r="U170" s="221">
        <f t="shared" si="276"/>
        <v>0.57342047930283213</v>
      </c>
      <c r="V170" s="221">
        <f t="shared" si="277"/>
        <v>1.4335511982570806</v>
      </c>
      <c r="W170" s="221">
        <f t="shared" si="278"/>
        <v>0.87840146952026998</v>
      </c>
      <c r="X170" s="201">
        <f t="shared" si="279"/>
        <v>350</v>
      </c>
      <c r="Y170" s="451">
        <f t="shared" ref="Y170:Y210" si="303">MIN(1/(V170+W170)*1000, 350)</f>
        <v>350</v>
      </c>
      <c r="AA170" s="221">
        <f t="shared" si="280"/>
        <v>0.70864090316977857</v>
      </c>
      <c r="AB170" s="177">
        <f t="shared" si="281"/>
        <v>1.0855405992184108</v>
      </c>
      <c r="AC170" s="177">
        <f t="shared" si="282"/>
        <v>0.16154427883809541</v>
      </c>
      <c r="AD170" s="177"/>
      <c r="AE170" s="177">
        <f t="shared" si="283"/>
        <v>0.4595588235294118</v>
      </c>
      <c r="AF170" s="555">
        <f t="shared" si="284"/>
        <v>1450.6666666666667</v>
      </c>
      <c r="AG170" s="538">
        <f t="shared" si="285"/>
        <v>2.8952205882352939E-2</v>
      </c>
      <c r="AI170" s="177">
        <f t="shared" si="286"/>
        <v>0.6107606498691377</v>
      </c>
      <c r="AJ170" s="177">
        <f t="shared" si="287"/>
        <v>0.6107606498691377</v>
      </c>
      <c r="AK170" s="177">
        <f t="shared" si="288"/>
        <v>1.4071737665794251</v>
      </c>
      <c r="AM170" s="555">
        <f t="shared" si="289"/>
        <v>120</v>
      </c>
      <c r="AN170" s="469">
        <f t="shared" si="290"/>
        <v>350</v>
      </c>
      <c r="AP170">
        <f t="shared" si="291"/>
        <v>120</v>
      </c>
      <c r="AQ170">
        <f t="shared" si="292"/>
        <v>350</v>
      </c>
      <c r="AS170" s="5">
        <f t="shared" si="263"/>
        <v>2.8571428571428572</v>
      </c>
      <c r="AT170" s="5">
        <f t="shared" si="293"/>
        <v>1.5269016246728444</v>
      </c>
      <c r="AU170" s="5">
        <f t="shared" ref="AU170:AU233" si="304">AS170-AT170</f>
        <v>1.3302412324700128</v>
      </c>
      <c r="AV170" s="5"/>
      <c r="AW170" s="177">
        <f t="shared" ref="AW170:AW233" si="305">AT170/AS170</f>
        <v>0.53441556863549555</v>
      </c>
      <c r="AX170" s="177">
        <f t="shared" si="259"/>
        <v>1.9584000000000004</v>
      </c>
      <c r="AY170" s="177">
        <f t="shared" si="260"/>
        <v>0.17061638992148259</v>
      </c>
      <c r="AZ170" s="177">
        <f t="shared" si="264"/>
        <v>11.478381419869763</v>
      </c>
      <c r="BA170" s="469">
        <f t="shared" si="294"/>
        <v>8.6504050333139713</v>
      </c>
      <c r="BB170" s="469">
        <f t="shared" si="295"/>
        <v>2.0645339999999996</v>
      </c>
      <c r="BC170" s="5">
        <f t="shared" si="258"/>
        <v>0.14780458138555697</v>
      </c>
      <c r="BD170" s="469">
        <f t="shared" si="296"/>
        <v>24.182066355022449</v>
      </c>
      <c r="BF170" s="177">
        <f t="shared" si="265"/>
        <v>0.25778044670952488</v>
      </c>
      <c r="BG170" s="177">
        <f t="shared" si="261"/>
        <v>0.28872932263526113</v>
      </c>
      <c r="BI170" s="538">
        <f t="shared" ref="BI170:BI210" si="306">Rdson*BF170^2</f>
        <v>2.3257765547016768E-2</v>
      </c>
      <c r="BJ170" s="538">
        <f t="shared" ref="BJ170:BJ210" si="307">0.5*K170*AJ170*AN170*1000*Trise</f>
        <v>3.3757962639566978E-2</v>
      </c>
      <c r="BK170" s="538">
        <f t="shared" ref="BK170:BK210" si="308">Qg*Vdd*AN170*1000</f>
        <v>4.3749999999999995E-3</v>
      </c>
      <c r="BL170" s="538">
        <f t="shared" ref="BL170:BL210" si="309">0.5*(Coss+Csw)*K170^2*AN170*1000</f>
        <v>1.7457108480000001E-2</v>
      </c>
      <c r="BM170">
        <f t="shared" ref="BM170:BM210" si="310">I170*IQ</f>
        <v>3.48E-3</v>
      </c>
      <c r="BN170">
        <f t="shared" si="297"/>
        <v>6.1250000000000006E-6</v>
      </c>
      <c r="BO170" s="538">
        <f t="shared" si="298"/>
        <v>8.5842113481196428E-2</v>
      </c>
      <c r="BP170" s="469">
        <f t="shared" ref="BP170:BP210" si="311">SUM(BI170:BM170)*1000</f>
        <v>82.32783666658375</v>
      </c>
      <c r="BQ170" s="538">
        <f t="shared" si="299"/>
        <v>7.7685285508277177E-2</v>
      </c>
      <c r="BT170" s="469">
        <f t="shared" ref="BT170:BT210" si="312">SUM(BQ170:BS170)*1000</f>
        <v>77.685285508277175</v>
      </c>
      <c r="BU170" s="538">
        <f t="shared" ref="BU170:BU210" si="313">Rdcr_pri*BF170^2</f>
        <v>6.6450758705762199E-3</v>
      </c>
      <c r="BV170" s="538">
        <f t="shared" ref="BV170:BV210" si="314">Rdcr_sec*BG170^2</f>
        <v>2.5009386524825015E-3</v>
      </c>
      <c r="BW170" s="538">
        <f t="shared" ref="BW170:BW210" si="315">AJ170^2.5*AN170^2.5*k_core</f>
        <v>0</v>
      </c>
      <c r="BX170" s="538"/>
      <c r="BY170" s="538">
        <f t="shared" ref="BY170:BY210" si="316">0.5*Lleak*0.000000001*AJ170^2*AN170*1000</f>
        <v>6.5280000000000008E-3</v>
      </c>
      <c r="BZ170" s="469">
        <f t="shared" ref="BZ170:BZ210" si="317">SUM(BU170:BY170)*1000</f>
        <v>15.674014523058721</v>
      </c>
      <c r="CA170" s="177">
        <f t="shared" ref="CA170:CA210" si="318">SUM(BI170:BM170,BQ170:BS170,BU170:BY170)</f>
        <v>0.17568713669791963</v>
      </c>
      <c r="CB170" s="5">
        <f t="shared" ref="CB170:CB212" si="319">MIN(H170,O170)</f>
        <v>1.92</v>
      </c>
      <c r="CC170" s="177">
        <f t="shared" ref="CC170:CC210" si="320">CB170/(CB170+CA170)</f>
        <v>0.91616728774947676</v>
      </c>
      <c r="CD170" s="5">
        <f t="shared" ref="CD170:CD210" si="321">CC170*100</f>
        <v>91.616728774947674</v>
      </c>
      <c r="CG170" s="571">
        <f t="shared" si="300"/>
        <v>-50</v>
      </c>
      <c r="CH170">
        <f t="shared" si="301"/>
        <v>-50</v>
      </c>
    </row>
    <row r="171" spans="5:86" x14ac:dyDescent="0.25">
      <c r="E171" s="174">
        <v>61</v>
      </c>
      <c r="F171" s="221">
        <f t="shared" si="302"/>
        <v>0.122</v>
      </c>
      <c r="G171" s="221"/>
      <c r="H171" s="221">
        <f t="shared" si="266"/>
        <v>1.952</v>
      </c>
      <c r="I171" s="551">
        <f t="shared" si="267"/>
        <v>12</v>
      </c>
      <c r="J171" s="451">
        <f t="shared" si="268"/>
        <v>19.584</v>
      </c>
      <c r="K171" s="451">
        <f t="shared" si="269"/>
        <v>31.584</v>
      </c>
      <c r="L171" s="451"/>
      <c r="M171" s="221">
        <f t="shared" si="270"/>
        <v>0.62006079027355621</v>
      </c>
      <c r="N171" s="176">
        <f t="shared" si="271"/>
        <v>5.0626723404255323</v>
      </c>
      <c r="O171" s="176">
        <f t="shared" si="262"/>
        <v>1.952</v>
      </c>
      <c r="P171" s="221">
        <f t="shared" si="272"/>
        <v>0.31641702127659577</v>
      </c>
      <c r="Q171" s="221">
        <f t="shared" si="273"/>
        <v>16</v>
      </c>
      <c r="R171" s="221"/>
      <c r="S171" s="176">
        <f t="shared" si="274"/>
        <v>56.449810610893081</v>
      </c>
      <c r="T171" s="176">
        <f t="shared" si="275"/>
        <v>16</v>
      </c>
      <c r="U171" s="221">
        <f t="shared" si="276"/>
        <v>0.58297748729121268</v>
      </c>
      <c r="V171" s="221">
        <f t="shared" si="277"/>
        <v>1.4574437182280315</v>
      </c>
      <c r="W171" s="221">
        <f t="shared" si="278"/>
        <v>0.89304149401227428</v>
      </c>
      <c r="X171" s="201">
        <f t="shared" si="279"/>
        <v>350</v>
      </c>
      <c r="Y171" s="451">
        <f t="shared" si="303"/>
        <v>350</v>
      </c>
      <c r="AA171" s="221">
        <f t="shared" si="280"/>
        <v>0.70864090316977857</v>
      </c>
      <c r="AB171" s="177">
        <f t="shared" si="281"/>
        <v>1.0855405992184108</v>
      </c>
      <c r="AC171" s="177">
        <f t="shared" si="282"/>
        <v>0.16154427883809541</v>
      </c>
      <c r="AD171" s="177"/>
      <c r="AE171" s="177">
        <f t="shared" si="283"/>
        <v>0.4595588235294118</v>
      </c>
      <c r="AF171" s="555">
        <f t="shared" si="284"/>
        <v>1474.8444444444444</v>
      </c>
      <c r="AG171" s="538">
        <f t="shared" si="285"/>
        <v>2.8952205882352939E-2</v>
      </c>
      <c r="AI171" s="177">
        <f t="shared" si="286"/>
        <v>0.61582928988942565</v>
      </c>
      <c r="AJ171" s="177">
        <f t="shared" si="287"/>
        <v>0.61582928988942565</v>
      </c>
      <c r="AK171" s="177">
        <f t="shared" si="288"/>
        <v>1.4105528599262838</v>
      </c>
      <c r="AM171" s="555">
        <f t="shared" si="289"/>
        <v>122</v>
      </c>
      <c r="AN171" s="469">
        <f t="shared" si="290"/>
        <v>350</v>
      </c>
      <c r="AP171">
        <f t="shared" si="291"/>
        <v>122</v>
      </c>
      <c r="AQ171">
        <f t="shared" si="292"/>
        <v>350</v>
      </c>
      <c r="AS171" s="5">
        <f t="shared" si="263"/>
        <v>2.8571428571428572</v>
      </c>
      <c r="AT171" s="5">
        <f t="shared" si="293"/>
        <v>1.5395732247235643</v>
      </c>
      <c r="AU171" s="5">
        <f t="shared" si="304"/>
        <v>1.3175696324192929</v>
      </c>
      <c r="AV171" s="5"/>
      <c r="AW171" s="177">
        <f t="shared" si="305"/>
        <v>0.53885062865324751</v>
      </c>
      <c r="AX171" s="177">
        <f t="shared" si="259"/>
        <v>1.9910399999999999</v>
      </c>
      <c r="AY171" s="177">
        <f t="shared" si="260"/>
        <v>0.1703935739336554</v>
      </c>
      <c r="AZ171" s="177">
        <f t="shared" si="264"/>
        <v>11.684947700992721</v>
      </c>
      <c r="BA171" s="469">
        <f t="shared" si="294"/>
        <v>8.6504050333139713</v>
      </c>
      <c r="BB171" s="469">
        <f t="shared" si="295"/>
        <v>2.1278252816666661</v>
      </c>
      <c r="BC171" s="5">
        <f t="shared" si="258"/>
        <v>0.14883656958810529</v>
      </c>
      <c r="BD171" s="469">
        <f t="shared" si="296"/>
        <v>24.356073356319069</v>
      </c>
      <c r="BF171" s="177">
        <f t="shared" si="265"/>
        <v>0.26099603544684158</v>
      </c>
      <c r="BG171" s="177">
        <f t="shared" si="261"/>
        <v>0.28973553960435622</v>
      </c>
      <c r="BI171" s="538">
        <f t="shared" si="306"/>
        <v>2.3841625681639143E-2</v>
      </c>
      <c r="BJ171" s="538">
        <f t="shared" si="307"/>
        <v>3.4038116510768338E-2</v>
      </c>
      <c r="BK171" s="538">
        <f t="shared" si="308"/>
        <v>4.3749999999999995E-3</v>
      </c>
      <c r="BL171" s="538">
        <f t="shared" si="309"/>
        <v>1.7457108480000001E-2</v>
      </c>
      <c r="BM171">
        <f t="shared" si="310"/>
        <v>3.48E-3</v>
      </c>
      <c r="BN171">
        <f t="shared" si="297"/>
        <v>6.1250000000000006E-6</v>
      </c>
      <c r="BO171" s="538">
        <f t="shared" si="298"/>
        <v>8.6798402209742206E-2</v>
      </c>
      <c r="BP171" s="469">
        <f t="shared" si="311"/>
        <v>83.191850672407469</v>
      </c>
      <c r="BQ171" s="538">
        <f t="shared" si="299"/>
        <v>7.8671632871554098E-2</v>
      </c>
      <c r="BT171" s="469">
        <f t="shared" si="312"/>
        <v>78.671632871554095</v>
      </c>
      <c r="BU171" s="538">
        <f t="shared" si="313"/>
        <v>6.8118930518968994E-3</v>
      </c>
      <c r="BV171" s="538">
        <f t="shared" si="314"/>
        <v>2.5184004872948239E-3</v>
      </c>
      <c r="BW171" s="538">
        <f t="shared" si="315"/>
        <v>0</v>
      </c>
      <c r="BX171" s="538"/>
      <c r="BY171" s="538">
        <f t="shared" si="316"/>
        <v>6.6368000000000009E-3</v>
      </c>
      <c r="BZ171" s="469">
        <f t="shared" si="317"/>
        <v>15.967093539191724</v>
      </c>
      <c r="CA171" s="177">
        <f t="shared" si="318"/>
        <v>0.17783057708315328</v>
      </c>
      <c r="CB171" s="5">
        <f t="shared" si="319"/>
        <v>1.952</v>
      </c>
      <c r="CC171" s="177">
        <f t="shared" si="320"/>
        <v>0.91650482484541285</v>
      </c>
      <c r="CD171" s="5">
        <f t="shared" si="321"/>
        <v>91.650482484541286</v>
      </c>
      <c r="CG171" s="571">
        <f t="shared" si="300"/>
        <v>-50</v>
      </c>
      <c r="CH171">
        <f t="shared" si="301"/>
        <v>-50</v>
      </c>
    </row>
    <row r="172" spans="5:86" x14ac:dyDescent="0.25">
      <c r="E172" s="174">
        <v>62</v>
      </c>
      <c r="F172" s="221">
        <f t="shared" si="302"/>
        <v>0.124</v>
      </c>
      <c r="G172" s="221"/>
      <c r="H172" s="221">
        <f t="shared" si="266"/>
        <v>1.984</v>
      </c>
      <c r="I172" s="551">
        <f t="shared" si="267"/>
        <v>12</v>
      </c>
      <c r="J172" s="451">
        <f t="shared" si="268"/>
        <v>19.584</v>
      </c>
      <c r="K172" s="451">
        <f t="shared" si="269"/>
        <v>31.584</v>
      </c>
      <c r="L172" s="451"/>
      <c r="M172" s="221">
        <f t="shared" si="270"/>
        <v>0.62006079027355621</v>
      </c>
      <c r="N172" s="176">
        <f t="shared" si="271"/>
        <v>5.0626723404255323</v>
      </c>
      <c r="O172" s="176">
        <f t="shared" si="262"/>
        <v>1.984</v>
      </c>
      <c r="P172" s="221">
        <f t="shared" si="272"/>
        <v>0.31641702127659577</v>
      </c>
      <c r="Q172" s="221">
        <f t="shared" si="273"/>
        <v>16</v>
      </c>
      <c r="R172" s="221"/>
      <c r="S172" s="176">
        <f t="shared" si="274"/>
        <v>55.380031241304351</v>
      </c>
      <c r="T172" s="176">
        <f t="shared" si="275"/>
        <v>16</v>
      </c>
      <c r="U172" s="221">
        <f t="shared" si="276"/>
        <v>0.59253449527959323</v>
      </c>
      <c r="V172" s="221">
        <f t="shared" si="277"/>
        <v>1.4813362381989832</v>
      </c>
      <c r="W172" s="221">
        <f t="shared" si="278"/>
        <v>0.90768151850427881</v>
      </c>
      <c r="X172" s="201">
        <f t="shared" si="279"/>
        <v>350</v>
      </c>
      <c r="Y172" s="451">
        <f t="shared" si="303"/>
        <v>350</v>
      </c>
      <c r="AA172" s="221">
        <f t="shared" si="280"/>
        <v>0.70864090316977857</v>
      </c>
      <c r="AB172" s="177">
        <f t="shared" si="281"/>
        <v>1.0855405992184108</v>
      </c>
      <c r="AC172" s="177">
        <f t="shared" si="282"/>
        <v>0.16154427883809541</v>
      </c>
      <c r="AD172" s="177"/>
      <c r="AE172" s="177">
        <f t="shared" si="283"/>
        <v>0.4595588235294118</v>
      </c>
      <c r="AF172" s="555">
        <f t="shared" si="284"/>
        <v>1499.0222222222224</v>
      </c>
      <c r="AG172" s="538">
        <f t="shared" si="285"/>
        <v>2.8952205882352939E-2</v>
      </c>
      <c r="AI172" s="177">
        <f t="shared" si="286"/>
        <v>0.62085655117978511</v>
      </c>
      <c r="AJ172" s="177">
        <f t="shared" si="287"/>
        <v>0.62085655117978511</v>
      </c>
      <c r="AK172" s="177">
        <f t="shared" si="288"/>
        <v>1.4139043674531901</v>
      </c>
      <c r="AM172" s="555">
        <f t="shared" si="289"/>
        <v>124</v>
      </c>
      <c r="AN172" s="469">
        <f t="shared" si="290"/>
        <v>350</v>
      </c>
      <c r="AP172">
        <f t="shared" si="291"/>
        <v>124</v>
      </c>
      <c r="AQ172">
        <f t="shared" si="292"/>
        <v>350</v>
      </c>
      <c r="AS172" s="5">
        <f t="shared" si="263"/>
        <v>2.8571428571428572</v>
      </c>
      <c r="AT172" s="5">
        <f t="shared" si="293"/>
        <v>1.5521413779494628</v>
      </c>
      <c r="AU172" s="5">
        <f t="shared" si="304"/>
        <v>1.3050014791933944</v>
      </c>
      <c r="AV172" s="5"/>
      <c r="AW172" s="177">
        <f t="shared" si="305"/>
        <v>0.54324948228231196</v>
      </c>
      <c r="AX172" s="177">
        <f t="shared" si="259"/>
        <v>2.0236799999999997</v>
      </c>
      <c r="AY172" s="177">
        <f t="shared" si="260"/>
        <v>0.17014593070787107</v>
      </c>
      <c r="AZ172" s="177">
        <f t="shared" si="264"/>
        <v>11.893790181056518</v>
      </c>
      <c r="BA172" s="469">
        <f t="shared" si="294"/>
        <v>8.6504050333139713</v>
      </c>
      <c r="BB172" s="469">
        <f t="shared" si="295"/>
        <v>2.1920635266666659</v>
      </c>
      <c r="BC172" s="5">
        <f t="shared" si="258"/>
        <v>0.14983350316664898</v>
      </c>
      <c r="BD172" s="469">
        <f t="shared" si="296"/>
        <v>24.52447161777495</v>
      </c>
      <c r="BF172" s="177">
        <f t="shared" si="265"/>
        <v>0.26419847184892264</v>
      </c>
      <c r="BG172" s="177">
        <f t="shared" si="261"/>
        <v>0.29070426998799109</v>
      </c>
      <c r="BI172" s="538">
        <f t="shared" si="306"/>
        <v>2.4430291384557087E-2</v>
      </c>
      <c r="BJ172" s="538">
        <f t="shared" si="307"/>
        <v>3.4315983296809079E-2</v>
      </c>
      <c r="BK172" s="538">
        <f t="shared" si="308"/>
        <v>4.3749999999999995E-3</v>
      </c>
      <c r="BL172" s="538">
        <f t="shared" si="309"/>
        <v>1.7457108480000001E-2</v>
      </c>
      <c r="BM172">
        <f t="shared" si="310"/>
        <v>3.48E-3</v>
      </c>
      <c r="BN172">
        <f t="shared" si="297"/>
        <v>6.1250000000000006E-6</v>
      </c>
      <c r="BO172" s="538">
        <f t="shared" si="298"/>
        <v>8.7758157631628045E-2</v>
      </c>
      <c r="BP172" s="469">
        <f t="shared" si="311"/>
        <v>84.058383161366152</v>
      </c>
      <c r="BQ172" s="538">
        <f t="shared" si="299"/>
        <v>7.965042752909382E-2</v>
      </c>
      <c r="BT172" s="469">
        <f t="shared" si="312"/>
        <v>79.650427529093818</v>
      </c>
      <c r="BU172" s="538">
        <f t="shared" si="313"/>
        <v>6.9800832527305975E-3</v>
      </c>
      <c r="BV172" s="538">
        <f t="shared" si="314"/>
        <v>2.5352691776775243E-3</v>
      </c>
      <c r="BW172" s="538">
        <f t="shared" si="315"/>
        <v>0</v>
      </c>
      <c r="BX172" s="538"/>
      <c r="BY172" s="538">
        <f t="shared" si="316"/>
        <v>6.7456E-3</v>
      </c>
      <c r="BZ172" s="469">
        <f t="shared" si="317"/>
        <v>16.260952430408121</v>
      </c>
      <c r="CA172" s="177">
        <f t="shared" si="318"/>
        <v>0.17996976312086807</v>
      </c>
      <c r="CB172" s="5">
        <f t="shared" si="319"/>
        <v>1.984</v>
      </c>
      <c r="CC172" s="177">
        <f t="shared" si="320"/>
        <v>0.91683351302408378</v>
      </c>
      <c r="CD172" s="5">
        <f t="shared" si="321"/>
        <v>91.683351302408383</v>
      </c>
      <c r="CG172" s="571">
        <f t="shared" si="300"/>
        <v>-50</v>
      </c>
      <c r="CH172">
        <f t="shared" si="301"/>
        <v>-50</v>
      </c>
    </row>
    <row r="173" spans="5:86" x14ac:dyDescent="0.25">
      <c r="E173" s="174">
        <v>63</v>
      </c>
      <c r="F173" s="221">
        <f t="shared" si="302"/>
        <v>0.126</v>
      </c>
      <c r="G173" s="221"/>
      <c r="H173" s="221">
        <f t="shared" si="266"/>
        <v>2.016</v>
      </c>
      <c r="I173" s="551">
        <f t="shared" si="267"/>
        <v>12</v>
      </c>
      <c r="J173" s="451">
        <f t="shared" si="268"/>
        <v>19.584</v>
      </c>
      <c r="K173" s="451">
        <f t="shared" si="269"/>
        <v>31.584</v>
      </c>
      <c r="L173" s="451"/>
      <c r="M173" s="221">
        <f t="shared" si="270"/>
        <v>0.62006079027355621</v>
      </c>
      <c r="N173" s="176">
        <f t="shared" si="271"/>
        <v>5.0626723404255323</v>
      </c>
      <c r="O173" s="176">
        <f t="shared" si="262"/>
        <v>2.016</v>
      </c>
      <c r="P173" s="221">
        <f t="shared" si="272"/>
        <v>0.31641702127659577</v>
      </c>
      <c r="Q173" s="221">
        <f t="shared" si="273"/>
        <v>16</v>
      </c>
      <c r="R173" s="221"/>
      <c r="S173" s="176">
        <f t="shared" si="274"/>
        <v>54.344253455239766</v>
      </c>
      <c r="T173" s="176">
        <f t="shared" si="275"/>
        <v>16</v>
      </c>
      <c r="U173" s="221">
        <f t="shared" si="276"/>
        <v>0.60209150326797378</v>
      </c>
      <c r="V173" s="221">
        <f t="shared" si="277"/>
        <v>1.5052287581699344</v>
      </c>
      <c r="W173" s="221">
        <f t="shared" si="278"/>
        <v>0.92232154299628333</v>
      </c>
      <c r="X173" s="201">
        <f t="shared" si="279"/>
        <v>350</v>
      </c>
      <c r="Y173" s="451">
        <f t="shared" si="303"/>
        <v>350</v>
      </c>
      <c r="AA173" s="221">
        <f t="shared" si="280"/>
        <v>0.70864090316977857</v>
      </c>
      <c r="AB173" s="177">
        <f t="shared" si="281"/>
        <v>1.0855405992184108</v>
      </c>
      <c r="AC173" s="177">
        <f t="shared" si="282"/>
        <v>0.16154427883809541</v>
      </c>
      <c r="AD173" s="177"/>
      <c r="AE173" s="177">
        <f t="shared" si="283"/>
        <v>0.4595588235294118</v>
      </c>
      <c r="AF173" s="555">
        <f t="shared" si="284"/>
        <v>1523.2000000000003</v>
      </c>
      <c r="AG173" s="538">
        <f t="shared" si="285"/>
        <v>2.8952205882352939E-2</v>
      </c>
      <c r="AI173" s="177">
        <f t="shared" si="286"/>
        <v>0.62584343089945427</v>
      </c>
      <c r="AJ173" s="177">
        <f t="shared" si="287"/>
        <v>0.62584343089945427</v>
      </c>
      <c r="AK173" s="177">
        <f t="shared" si="288"/>
        <v>1.4172289539329694</v>
      </c>
      <c r="AM173" s="555">
        <f t="shared" si="289"/>
        <v>126</v>
      </c>
      <c r="AN173" s="469">
        <f t="shared" si="290"/>
        <v>350</v>
      </c>
      <c r="AP173">
        <f t="shared" si="291"/>
        <v>126</v>
      </c>
      <c r="AQ173">
        <f t="shared" si="292"/>
        <v>350</v>
      </c>
      <c r="AS173" s="5">
        <f t="shared" si="263"/>
        <v>2.8571428571428572</v>
      </c>
      <c r="AT173" s="5">
        <f t="shared" si="293"/>
        <v>1.5646085772486358</v>
      </c>
      <c r="AU173" s="5">
        <f t="shared" si="304"/>
        <v>1.2925342798942214</v>
      </c>
      <c r="AV173" s="5"/>
      <c r="AW173" s="177">
        <f t="shared" si="305"/>
        <v>0.54761300203702246</v>
      </c>
      <c r="AX173" s="177">
        <f t="shared" si="259"/>
        <v>2.0563199999999999</v>
      </c>
      <c r="AY173" s="177">
        <f t="shared" si="260"/>
        <v>0.16987405853967258</v>
      </c>
      <c r="AZ173" s="177">
        <f t="shared" si="264"/>
        <v>12.104967748914792</v>
      </c>
      <c r="BA173" s="469">
        <f t="shared" si="294"/>
        <v>8.6504050333139713</v>
      </c>
      <c r="BB173" s="469">
        <f t="shared" si="295"/>
        <v>2.2572487349999997</v>
      </c>
      <c r="BC173" s="5">
        <f t="shared" si="258"/>
        <v>0.15079566598765914</v>
      </c>
      <c r="BD173" s="469">
        <f t="shared" si="296"/>
        <v>24.687306558025469</v>
      </c>
      <c r="BF173" s="177">
        <f t="shared" si="265"/>
        <v>0.26738802057301231</v>
      </c>
      <c r="BG173" s="177">
        <f t="shared" si="261"/>
        <v>0.29163616184181745</v>
      </c>
      <c r="BI173" s="538">
        <f t="shared" si="306"/>
        <v>2.5023723741083779E-2</v>
      </c>
      <c r="BJ173" s="538">
        <f t="shared" si="307"/>
        <v>3.4591618112674638E-2</v>
      </c>
      <c r="BK173" s="538">
        <f t="shared" si="308"/>
        <v>4.3749999999999995E-3</v>
      </c>
      <c r="BL173" s="538">
        <f t="shared" si="309"/>
        <v>1.7457108480000001E-2</v>
      </c>
      <c r="BM173">
        <f t="shared" si="310"/>
        <v>3.48E-3</v>
      </c>
      <c r="BN173">
        <f t="shared" si="297"/>
        <v>6.1250000000000006E-6</v>
      </c>
      <c r="BO173" s="538">
        <f t="shared" si="298"/>
        <v>8.8721393803948168E-2</v>
      </c>
      <c r="BP173" s="469">
        <f t="shared" si="311"/>
        <v>84.927450333758415</v>
      </c>
      <c r="BQ173" s="538">
        <f t="shared" si="299"/>
        <v>8.0621730641441819E-2</v>
      </c>
      <c r="BT173" s="469">
        <f t="shared" si="312"/>
        <v>80.621730641441815</v>
      </c>
      <c r="BU173" s="538">
        <f t="shared" si="313"/>
        <v>7.1496353545953658E-3</v>
      </c>
      <c r="BV173" s="538">
        <f t="shared" si="314"/>
        <v>2.551549526814802E-3</v>
      </c>
      <c r="BW173" s="538">
        <f t="shared" si="315"/>
        <v>0</v>
      </c>
      <c r="BX173" s="538"/>
      <c r="BY173" s="538">
        <f t="shared" si="316"/>
        <v>6.8544000000000009E-3</v>
      </c>
      <c r="BZ173" s="469">
        <f t="shared" si="317"/>
        <v>16.555584881410169</v>
      </c>
      <c r="CA173" s="177">
        <f t="shared" si="318"/>
        <v>0.1821047658566104</v>
      </c>
      <c r="CB173" s="5">
        <f t="shared" si="319"/>
        <v>2.016</v>
      </c>
      <c r="CC173" s="177">
        <f t="shared" si="320"/>
        <v>0.91715373685310064</v>
      </c>
      <c r="CD173" s="5">
        <f t="shared" si="321"/>
        <v>91.71537368531007</v>
      </c>
      <c r="CG173" s="571">
        <f t="shared" si="300"/>
        <v>-50</v>
      </c>
      <c r="CH173">
        <f t="shared" si="301"/>
        <v>-50</v>
      </c>
    </row>
    <row r="174" spans="5:86" x14ac:dyDescent="0.25">
      <c r="E174" s="174">
        <v>64</v>
      </c>
      <c r="F174" s="221">
        <f t="shared" si="302"/>
        <v>0.128</v>
      </c>
      <c r="G174" s="221"/>
      <c r="H174" s="221">
        <f t="shared" ref="H174:H205" si="322">F174*Vout</f>
        <v>2.048</v>
      </c>
      <c r="I174" s="551">
        <f t="shared" ref="I174:I212" si="323">VIN_min</f>
        <v>12</v>
      </c>
      <c r="J174" s="451">
        <f t="shared" ref="J174:J210" si="324">(T174+Vfwd1)*Nps</f>
        <v>19.584</v>
      </c>
      <c r="K174" s="451">
        <f t="shared" ref="K174:K210" si="325">(Vout+Vfwd1)*Nps+I174</f>
        <v>31.584</v>
      </c>
      <c r="L174" s="451"/>
      <c r="M174" s="221">
        <f t="shared" ref="M174:M210" si="326">(Vout+Vfwd1)*Nps/((Vout+Vfwd1)*Nps+I174)</f>
        <v>0.62006079027355621</v>
      </c>
      <c r="N174" s="176">
        <f t="shared" ref="N174:N205" si="327">M174*I174*(Isw_max+VIN_min/Lmag*ILIM_delay)*0.5*Efficiency</f>
        <v>5.0626723404255323</v>
      </c>
      <c r="O174" s="176">
        <f t="shared" si="262"/>
        <v>2.048</v>
      </c>
      <c r="P174" s="221">
        <f t="shared" ref="P174:P205" si="328">N174/Vout</f>
        <v>0.31641702127659577</v>
      </c>
      <c r="Q174" s="221">
        <f t="shared" ref="Q174:Q210" si="329">MIN(Vout,N174/F174)</f>
        <v>16</v>
      </c>
      <c r="R174" s="221"/>
      <c r="S174" s="176">
        <f t="shared" ref="S174:S210" si="330">(SQRT(Isw_max^2*Nps^2*I174^2+4*Isw_max*F174/Efficiency*(Nps^2*Vfwd1*I174-Nps*I174^2)+4*(F174/Efficiency)^2*Nps^2*Vfwd1^2+8*(F174/Efficiency)^2*Nps*Vfwd1*I174+4*(F174/Efficiency)^2*I174^2)-2*F174/Efficiency*I174-2*F174/Efficiency*Nps*Vfwd1+Isw_max*Nps*I174)/(4*F174/Efficiency*Nps)</f>
        <v>53.340883755094389</v>
      </c>
      <c r="T174" s="176">
        <f t="shared" ref="T174:T205" si="331">MIN(Vout, S174)</f>
        <v>16</v>
      </c>
      <c r="U174" s="221">
        <f t="shared" ref="U174:U210" si="332">MIN(2*Vout*F174/(Efficiency*I174*M174), Isw_max)</f>
        <v>0.61164851125635433</v>
      </c>
      <c r="V174" s="221">
        <f t="shared" ref="V174:V205" si="333">L*U174/I174*1000000</f>
        <v>1.5291212781408858</v>
      </c>
      <c r="W174" s="221">
        <f t="shared" ref="W174:W210" si="334">L*U174/J174*1000000</f>
        <v>0.93696156748828796</v>
      </c>
      <c r="X174" s="201">
        <f t="shared" ref="X174:X210" si="335">IF(1/((350000*L)*(1/I174+1/J174))&gt;Isw_min, 350, 0.001/((Isw_min*L)*(1/I174+1/J174)))</f>
        <v>350</v>
      </c>
      <c r="Y174" s="451">
        <f t="shared" si="303"/>
        <v>350</v>
      </c>
      <c r="AA174" s="221">
        <f t="shared" ref="AA174:AA210" si="336">1/((X174*1000*L)*(1/I174+1/J174))</f>
        <v>0.70864090316977857</v>
      </c>
      <c r="AB174" s="177">
        <f t="shared" ref="AB174:AB205" si="337">L*AA174/J174*1000000</f>
        <v>1.0855405992184108</v>
      </c>
      <c r="AC174" s="177">
        <f t="shared" ref="AC174:AC205" si="338">0.5*AB174*AA174*Nps*X174/1000</f>
        <v>0.16154427883809541</v>
      </c>
      <c r="AD174" s="177"/>
      <c r="AE174" s="177">
        <f t="shared" ref="AE174:AE210" si="339">L*Isw_min/J174*1000000</f>
        <v>0.4595588235294118</v>
      </c>
      <c r="AF174" s="555">
        <f t="shared" ref="AF174:AF205" si="340">MAX(12000,F174/(0.5*AE174/1000000*Isw_min*Nps))/1000</f>
        <v>1547.377777777778</v>
      </c>
      <c r="AG174" s="538">
        <f t="shared" ref="AG174:AG210" si="341">0.5*AE174/1000000*Isw_min*Nps*X174*1000</f>
        <v>2.8952205882352939E-2</v>
      </c>
      <c r="AI174" s="177">
        <f t="shared" ref="AI174:AI210" si="342">SQRT(F174/(0.5*L/J174*Fsw_DCM*Nps))</f>
        <v>0.63079088678986384</v>
      </c>
      <c r="AJ174" s="177">
        <f t="shared" ref="AJ174:AJ205" si="343">MAX(IF(F174&gt;AC174,U174,AI174),Isw_min)</f>
        <v>0.63079088678986384</v>
      </c>
      <c r="AK174" s="177">
        <f t="shared" ref="AK174:AK205" si="344">IF(F174&gt;AG174, (AJ174-Isw_min)/1.2*0.8+1.2, AF174*0.2/350+1)</f>
        <v>1.4205272578599093</v>
      </c>
      <c r="AM174" s="555">
        <f t="shared" ref="AM174:AM210" si="345">F174*1000</f>
        <v>128</v>
      </c>
      <c r="AN174" s="469">
        <f t="shared" ref="AN174:AN210" si="346">IF(F174&gt;AG174, Y174, AF174)</f>
        <v>350</v>
      </c>
      <c r="AP174">
        <f t="shared" ref="AP174:AP210" si="347">IF(H174&gt;N174, "",AM174)</f>
        <v>128</v>
      </c>
      <c r="AQ174">
        <f t="shared" ref="AQ174:AQ210" si="348">IF(H174&gt;N174, "",AN174)</f>
        <v>350</v>
      </c>
      <c r="AS174" s="5">
        <f t="shared" si="263"/>
        <v>2.8571428571428572</v>
      </c>
      <c r="AT174" s="5">
        <f t="shared" ref="AT174:AT210" si="349">L*AJ174/I174*1000000</f>
        <v>1.5769772169746596</v>
      </c>
      <c r="AU174" s="5">
        <f t="shared" si="304"/>
        <v>1.2801656401681976</v>
      </c>
      <c r="AV174" s="5"/>
      <c r="AW174" s="177">
        <f t="shared" si="305"/>
        <v>0.55194202594113084</v>
      </c>
      <c r="AX174" s="177">
        <f t="shared" si="259"/>
        <v>2.0889600000000002</v>
      </c>
      <c r="AY174" s="177">
        <f t="shared" si="260"/>
        <v>0.16957853207391832</v>
      </c>
      <c r="AZ174" s="177">
        <f t="shared" si="264"/>
        <v>12.318540409875906</v>
      </c>
      <c r="BA174" s="469">
        <f t="shared" ref="BA174:BA210" si="350">L*Isw_max^2/(2*Vout_ripple*Vout)*1000000000*((1+M174)/2)^2</f>
        <v>8.6504050333139713</v>
      </c>
      <c r="BB174" s="469">
        <f t="shared" ref="BB174:BB210" si="351">L*F174^2/(2*Cout*Vout*Nps^2)*1000000000*((1+M174)/(1-M174))^2+F174*RCoutEsr</f>
        <v>2.323380906666666</v>
      </c>
      <c r="BC174" s="5">
        <f t="shared" si="258"/>
        <v>0.15172333513104563</v>
      </c>
      <c r="BD174" s="469">
        <f t="shared" ref="BD174:BD210" si="352">((CB174/I174/Efficiency)*AU174/Cin+(CB174/I174/Efficiency)*RCinEsr)*1000</f>
        <v>24.844622509856194</v>
      </c>
      <c r="BF174" s="177">
        <f t="shared" si="265"/>
        <v>0.2705649368418846</v>
      </c>
      <c r="BG174" s="177">
        <f t="shared" si="261"/>
        <v>0.29253183433934887</v>
      </c>
      <c r="BI174" s="538">
        <f t="shared" si="306"/>
        <v>2.5621884766888547E-2</v>
      </c>
      <c r="BJ174" s="538">
        <f t="shared" si="307"/>
        <v>3.4865073894649351E-2</v>
      </c>
      <c r="BK174" s="538">
        <f t="shared" si="308"/>
        <v>4.3749999999999995E-3</v>
      </c>
      <c r="BL174" s="538">
        <f t="shared" si="309"/>
        <v>1.7457108480000001E-2</v>
      </c>
      <c r="BM174">
        <f t="shared" si="310"/>
        <v>3.48E-3</v>
      </c>
      <c r="BN174">
        <f t="shared" ref="BN174:BN210" si="353">(I174-Vdd)*Qg*AN174</f>
        <v>6.1250000000000006E-6</v>
      </c>
      <c r="BO174" s="538">
        <f t="shared" ref="BO174:BO205" si="354">(BJ174+BK174+BL174+BM174+BN174+BI174*(1+RdsonTC*(Ta-25)))/(1-BI174*RdsonTC*ThetaJA)</f>
        <v>8.9688123668055605E-2</v>
      </c>
      <c r="BP174" s="469">
        <f t="shared" si="311"/>
        <v>85.799067141537904</v>
      </c>
      <c r="BQ174" s="538">
        <f t="shared" ref="BQ174:BQ210" si="355">(Vfwd2*F174+BG174^2*Rdiode)*(1+Diode_TC/1000*(Ta-25))</f>
        <v>8.1585601906942709E-2</v>
      </c>
      <c r="BT174" s="469">
        <f t="shared" si="312"/>
        <v>81.585601906942713</v>
      </c>
      <c r="BU174" s="538">
        <f t="shared" si="313"/>
        <v>7.3205385048253002E-3</v>
      </c>
      <c r="BV174" s="538">
        <f t="shared" si="314"/>
        <v>2.5672462230583275E-3</v>
      </c>
      <c r="BW174" s="538">
        <f t="shared" si="315"/>
        <v>0</v>
      </c>
      <c r="BX174" s="538"/>
      <c r="BY174" s="538">
        <f t="shared" si="316"/>
        <v>6.9632000000000001E-3</v>
      </c>
      <c r="BZ174" s="469">
        <f t="shared" si="317"/>
        <v>16.850984727883628</v>
      </c>
      <c r="CA174" s="177">
        <f t="shared" si="318"/>
        <v>0.18423565377636422</v>
      </c>
      <c r="CB174" s="5">
        <f t="shared" si="319"/>
        <v>2.048</v>
      </c>
      <c r="CC174" s="177">
        <f t="shared" si="320"/>
        <v>0.91746585829113281</v>
      </c>
      <c r="CD174" s="5">
        <f t="shared" si="321"/>
        <v>91.746585829113286</v>
      </c>
      <c r="CG174" s="571">
        <f t="shared" ref="CG174:CG210" si="356">IF(ABS(F174-Ioutmax_Vinmin)&lt;Iout/200, AN174, -50)</f>
        <v>-50</v>
      </c>
      <c r="CH174">
        <f t="shared" ref="CH174:CH210" si="357">IF(ABS(F174-Ioutmax_Vinmin)&lt;Iout/200, N174*CC174, -50)</f>
        <v>-50</v>
      </c>
    </row>
    <row r="175" spans="5:86" x14ac:dyDescent="0.25">
      <c r="E175" s="174">
        <v>65</v>
      </c>
      <c r="F175" s="221">
        <f t="shared" ref="F175:F206" si="358">IF(PLOT_TYPE=1, E175/100*Iout_max, min_I*EXP(N175*rr/100))</f>
        <v>0.13</v>
      </c>
      <c r="G175" s="221"/>
      <c r="H175" s="221">
        <f t="shared" si="322"/>
        <v>2.08</v>
      </c>
      <c r="I175" s="551">
        <f t="shared" si="323"/>
        <v>12</v>
      </c>
      <c r="J175" s="451">
        <f t="shared" si="324"/>
        <v>19.584</v>
      </c>
      <c r="K175" s="451">
        <f t="shared" si="325"/>
        <v>31.584</v>
      </c>
      <c r="L175" s="451"/>
      <c r="M175" s="221">
        <f t="shared" si="326"/>
        <v>0.62006079027355621</v>
      </c>
      <c r="N175" s="176">
        <f t="shared" si="327"/>
        <v>5.0626723404255323</v>
      </c>
      <c r="O175" s="176">
        <f t="shared" si="262"/>
        <v>2.08</v>
      </c>
      <c r="P175" s="221">
        <f t="shared" si="328"/>
        <v>0.31641702127659577</v>
      </c>
      <c r="Q175" s="221">
        <f t="shared" si="329"/>
        <v>16</v>
      </c>
      <c r="R175" s="221"/>
      <c r="S175" s="176">
        <f t="shared" si="330"/>
        <v>52.368426708013914</v>
      </c>
      <c r="T175" s="176">
        <f t="shared" si="331"/>
        <v>16</v>
      </c>
      <c r="U175" s="221">
        <f t="shared" si="332"/>
        <v>0.62120551924473488</v>
      </c>
      <c r="V175" s="221">
        <f t="shared" si="333"/>
        <v>1.5530137981118375</v>
      </c>
      <c r="W175" s="221">
        <f t="shared" si="334"/>
        <v>0.95160159198029248</v>
      </c>
      <c r="X175" s="201">
        <f t="shared" si="335"/>
        <v>350</v>
      </c>
      <c r="Y175" s="451">
        <f t="shared" si="303"/>
        <v>350</v>
      </c>
      <c r="AA175" s="221">
        <f t="shared" si="336"/>
        <v>0.70864090316977857</v>
      </c>
      <c r="AB175" s="177">
        <f t="shared" si="337"/>
        <v>1.0855405992184108</v>
      </c>
      <c r="AC175" s="177">
        <f t="shared" si="338"/>
        <v>0.16154427883809541</v>
      </c>
      <c r="AD175" s="177"/>
      <c r="AE175" s="177">
        <f t="shared" si="339"/>
        <v>0.4595588235294118</v>
      </c>
      <c r="AF175" s="555">
        <f t="shared" si="340"/>
        <v>1571.5555555555557</v>
      </c>
      <c r="AG175" s="538">
        <f t="shared" si="341"/>
        <v>2.8952205882352939E-2</v>
      </c>
      <c r="AI175" s="177">
        <f t="shared" si="342"/>
        <v>0.63569983932221164</v>
      </c>
      <c r="AJ175" s="177">
        <f t="shared" si="343"/>
        <v>0.63569983932221164</v>
      </c>
      <c r="AK175" s="177">
        <f t="shared" si="344"/>
        <v>1.4237998928814743</v>
      </c>
      <c r="AM175" s="555">
        <f t="shared" si="345"/>
        <v>130</v>
      </c>
      <c r="AN175" s="469">
        <f t="shared" si="346"/>
        <v>350</v>
      </c>
      <c r="AP175">
        <f t="shared" si="347"/>
        <v>130</v>
      </c>
      <c r="AQ175">
        <f t="shared" si="348"/>
        <v>350</v>
      </c>
      <c r="AS175" s="5">
        <f t="shared" si="263"/>
        <v>2.8571428571428572</v>
      </c>
      <c r="AT175" s="5">
        <f t="shared" si="349"/>
        <v>1.5892495983055293</v>
      </c>
      <c r="AU175" s="5">
        <f t="shared" si="304"/>
        <v>1.267893258837328</v>
      </c>
      <c r="AV175" s="5"/>
      <c r="AW175" s="177">
        <f t="shared" si="305"/>
        <v>0.55623735940693519</v>
      </c>
      <c r="AX175" s="177">
        <f t="shared" si="259"/>
        <v>2.1215999999999999</v>
      </c>
      <c r="AY175" s="177">
        <f t="shared" si="260"/>
        <v>0.16925990359332696</v>
      </c>
      <c r="AZ175" s="177">
        <f t="shared" si="264"/>
        <v>12.534569351389159</v>
      </c>
      <c r="BA175" s="469">
        <f t="shared" si="350"/>
        <v>8.6504050333139713</v>
      </c>
      <c r="BB175" s="469">
        <f t="shared" si="351"/>
        <v>2.3904600416666666</v>
      </c>
      <c r="BC175" s="5">
        <f t="shared" si="258"/>
        <v>0.15261678115634505</v>
      </c>
      <c r="BD175" s="469">
        <f t="shared" si="352"/>
        <v>24.996462762792984</v>
      </c>
      <c r="BF175" s="177">
        <f t="shared" si="265"/>
        <v>0.27372946692207739</v>
      </c>
      <c r="BG175" s="177">
        <f t="shared" si="261"/>
        <v>0.29339187925772037</v>
      </c>
      <c r="BI175" s="538">
        <f t="shared" si="306"/>
        <v>2.622473737150563E-2</v>
      </c>
      <c r="BJ175" s="538">
        <f t="shared" si="307"/>
        <v>3.5136401519017278E-2</v>
      </c>
      <c r="BK175" s="538">
        <f t="shared" si="308"/>
        <v>4.3749999999999995E-3</v>
      </c>
      <c r="BL175" s="538">
        <f t="shared" si="309"/>
        <v>1.7457108480000001E-2</v>
      </c>
      <c r="BM175">
        <f t="shared" si="310"/>
        <v>3.48E-3</v>
      </c>
      <c r="BN175">
        <f t="shared" si="353"/>
        <v>6.1250000000000006E-6</v>
      </c>
      <c r="BO175" s="538">
        <f t="shared" si="354"/>
        <v>9.0658359126693233E-2</v>
      </c>
      <c r="BP175" s="469">
        <f t="shared" si="311"/>
        <v>86.673247370522901</v>
      </c>
      <c r="BQ175" s="538">
        <f t="shared" si="355"/>
        <v>8.2542099619091924E-2</v>
      </c>
      <c r="BT175" s="469">
        <f t="shared" si="312"/>
        <v>82.542099619091928</v>
      </c>
      <c r="BU175" s="538">
        <f t="shared" si="313"/>
        <v>7.4927821061444664E-3</v>
      </c>
      <c r="BV175" s="538">
        <f t="shared" si="314"/>
        <v>2.5823638444313025E-3</v>
      </c>
      <c r="BW175" s="538">
        <f t="shared" si="315"/>
        <v>0</v>
      </c>
      <c r="BX175" s="538"/>
      <c r="BY175" s="538">
        <f t="shared" si="316"/>
        <v>7.0720000000000002E-3</v>
      </c>
      <c r="BZ175" s="469">
        <f t="shared" si="317"/>
        <v>17.147145950575766</v>
      </c>
      <c r="CA175" s="177">
        <f t="shared" si="318"/>
        <v>0.18636249294019058</v>
      </c>
      <c r="CB175" s="5">
        <f t="shared" si="319"/>
        <v>2.08</v>
      </c>
      <c r="CC175" s="177">
        <f t="shared" si="320"/>
        <v>0.91777021834736616</v>
      </c>
      <c r="CD175" s="5">
        <f t="shared" si="321"/>
        <v>91.777021834736615</v>
      </c>
      <c r="CG175" s="571">
        <f t="shared" si="356"/>
        <v>-50</v>
      </c>
      <c r="CH175">
        <f t="shared" si="357"/>
        <v>-50</v>
      </c>
    </row>
    <row r="176" spans="5:86" x14ac:dyDescent="0.25">
      <c r="E176" s="174">
        <v>66</v>
      </c>
      <c r="F176" s="221">
        <f t="shared" si="358"/>
        <v>0.13200000000000001</v>
      </c>
      <c r="G176" s="221"/>
      <c r="H176" s="221">
        <f t="shared" si="322"/>
        <v>2.1120000000000001</v>
      </c>
      <c r="I176" s="551">
        <f t="shared" si="323"/>
        <v>12</v>
      </c>
      <c r="J176" s="451">
        <f t="shared" si="324"/>
        <v>19.584</v>
      </c>
      <c r="K176" s="451">
        <f t="shared" si="325"/>
        <v>31.584</v>
      </c>
      <c r="L176" s="451"/>
      <c r="M176" s="221">
        <f t="shared" si="326"/>
        <v>0.62006079027355621</v>
      </c>
      <c r="N176" s="176">
        <f t="shared" si="327"/>
        <v>5.0626723404255323</v>
      </c>
      <c r="O176" s="176">
        <f t="shared" si="262"/>
        <v>2.1120000000000001</v>
      </c>
      <c r="P176" s="221">
        <f t="shared" si="328"/>
        <v>0.31641702127659577</v>
      </c>
      <c r="Q176" s="221">
        <f t="shared" si="329"/>
        <v>16</v>
      </c>
      <c r="R176" s="221"/>
      <c r="S176" s="176">
        <f t="shared" si="330"/>
        <v>51.425477516787602</v>
      </c>
      <c r="T176" s="546">
        <f t="shared" si="331"/>
        <v>16</v>
      </c>
      <c r="U176" s="221">
        <f t="shared" si="332"/>
        <v>0.63076252723311543</v>
      </c>
      <c r="V176" s="221">
        <f t="shared" si="333"/>
        <v>1.5769063180827885</v>
      </c>
      <c r="W176" s="221">
        <f t="shared" si="334"/>
        <v>0.96624161647229678</v>
      </c>
      <c r="X176" s="201">
        <f t="shared" si="335"/>
        <v>350</v>
      </c>
      <c r="Y176" s="451">
        <f t="shared" si="303"/>
        <v>350</v>
      </c>
      <c r="AA176" s="221">
        <f t="shared" si="336"/>
        <v>0.70864090316977857</v>
      </c>
      <c r="AB176" s="177">
        <f t="shared" si="337"/>
        <v>1.0855405992184108</v>
      </c>
      <c r="AC176" s="177">
        <f t="shared" si="338"/>
        <v>0.16154427883809541</v>
      </c>
      <c r="AD176" s="177"/>
      <c r="AE176" s="177">
        <f t="shared" si="339"/>
        <v>0.4595588235294118</v>
      </c>
      <c r="AF176" s="555">
        <f t="shared" si="340"/>
        <v>1595.7333333333336</v>
      </c>
      <c r="AG176" s="538">
        <f t="shared" si="341"/>
        <v>2.8952205882352939E-2</v>
      </c>
      <c r="AI176" s="177">
        <f t="shared" si="342"/>
        <v>0.64057117369690353</v>
      </c>
      <c r="AJ176" s="177">
        <f t="shared" si="343"/>
        <v>0.64057117369690353</v>
      </c>
      <c r="AK176" s="177">
        <f t="shared" si="344"/>
        <v>1.427047449131269</v>
      </c>
      <c r="AM176" s="555">
        <f t="shared" si="345"/>
        <v>132</v>
      </c>
      <c r="AN176" s="469">
        <f t="shared" si="346"/>
        <v>350</v>
      </c>
      <c r="AP176">
        <f t="shared" si="347"/>
        <v>132</v>
      </c>
      <c r="AQ176">
        <f t="shared" si="348"/>
        <v>350</v>
      </c>
      <c r="AS176" s="5">
        <f t="shared" si="263"/>
        <v>2.8571428571428572</v>
      </c>
      <c r="AT176" s="5">
        <f t="shared" si="349"/>
        <v>1.6014279342422588</v>
      </c>
      <c r="AU176" s="5">
        <f t="shared" si="304"/>
        <v>1.2557149229005984</v>
      </c>
      <c r="AV176" s="5"/>
      <c r="AW176" s="177">
        <f t="shared" si="305"/>
        <v>0.56049977698479059</v>
      </c>
      <c r="AX176" s="177">
        <f t="shared" si="259"/>
        <v>2.1542400000000002</v>
      </c>
      <c r="AY176" s="177">
        <f t="shared" si="260"/>
        <v>0.16891870421814212</v>
      </c>
      <c r="AZ176" s="177">
        <f t="shared" si="264"/>
        <v>12.753117009576442</v>
      </c>
      <c r="BA176" s="469">
        <f t="shared" si="350"/>
        <v>8.6504050333139713</v>
      </c>
      <c r="BB176" s="469">
        <f t="shared" si="351"/>
        <v>2.4584861399999998</v>
      </c>
      <c r="BC176" s="5">
        <f t="shared" si="258"/>
        <v>0.15347626835451758</v>
      </c>
      <c r="BD176" s="469">
        <f t="shared" si="352"/>
        <v>25.142869603389482</v>
      </c>
      <c r="BF176" s="177">
        <f t="shared" si="265"/>
        <v>0.27688184857091197</v>
      </c>
      <c r="BG176" s="177">
        <f t="shared" si="261"/>
        <v>0.29421686235887345</v>
      </c>
      <c r="BI176" s="538">
        <f t="shared" si="306"/>
        <v>2.6832245323815895E-2</v>
      </c>
      <c r="BJ176" s="538">
        <f t="shared" si="307"/>
        <v>3.5405649912575256E-2</v>
      </c>
      <c r="BK176" s="538">
        <f t="shared" si="308"/>
        <v>4.3749999999999995E-3</v>
      </c>
      <c r="BL176" s="538">
        <f t="shared" si="309"/>
        <v>1.7457108480000001E-2</v>
      </c>
      <c r="BM176">
        <f t="shared" si="310"/>
        <v>3.48E-3</v>
      </c>
      <c r="BN176">
        <f t="shared" si="353"/>
        <v>6.1250000000000006E-6</v>
      </c>
      <c r="BO176" s="538">
        <f t="shared" si="354"/>
        <v>9.1632111115185433E-2</v>
      </c>
      <c r="BP176" s="469">
        <f t="shared" si="311"/>
        <v>87.550003716391146</v>
      </c>
      <c r="BQ176" s="538">
        <f t="shared" si="355"/>
        <v>8.3491280720786723E-2</v>
      </c>
      <c r="BT176" s="469">
        <f t="shared" si="312"/>
        <v>83.491280720786719</v>
      </c>
      <c r="BU176" s="538">
        <f t="shared" si="313"/>
        <v>7.666355806804543E-3</v>
      </c>
      <c r="BV176" s="538">
        <f t="shared" si="314"/>
        <v>2.5969068628890085E-3</v>
      </c>
      <c r="BW176" s="538">
        <f t="shared" si="315"/>
        <v>0</v>
      </c>
      <c r="BX176" s="538"/>
      <c r="BY176" s="538">
        <f t="shared" si="316"/>
        <v>7.1808000000000011E-3</v>
      </c>
      <c r="BZ176" s="469">
        <f t="shared" si="317"/>
        <v>17.444062669693555</v>
      </c>
      <c r="CA176" s="177">
        <f t="shared" si="318"/>
        <v>0.18848534710687143</v>
      </c>
      <c r="CB176" s="5">
        <f t="shared" si="319"/>
        <v>2.1120000000000001</v>
      </c>
      <c r="CC176" s="177">
        <f t="shared" si="320"/>
        <v>0.91806713859581257</v>
      </c>
      <c r="CD176" s="5">
        <f t="shared" si="321"/>
        <v>91.806713859581251</v>
      </c>
      <c r="CG176" s="571">
        <f t="shared" si="356"/>
        <v>-50</v>
      </c>
      <c r="CH176">
        <f t="shared" si="357"/>
        <v>-50</v>
      </c>
    </row>
    <row r="177" spans="5:86" x14ac:dyDescent="0.25">
      <c r="E177" s="174">
        <v>67</v>
      </c>
      <c r="F177" s="221">
        <f t="shared" si="358"/>
        <v>0.13400000000000001</v>
      </c>
      <c r="G177" s="221"/>
      <c r="H177" s="221">
        <f t="shared" si="322"/>
        <v>2.1440000000000001</v>
      </c>
      <c r="I177" s="551">
        <f t="shared" si="323"/>
        <v>12</v>
      </c>
      <c r="J177" s="451">
        <f t="shared" si="324"/>
        <v>19.584</v>
      </c>
      <c r="K177" s="451">
        <f t="shared" si="325"/>
        <v>31.584</v>
      </c>
      <c r="L177" s="451"/>
      <c r="M177" s="221">
        <f t="shared" si="326"/>
        <v>0.62006079027355621</v>
      </c>
      <c r="N177" s="176">
        <f t="shared" si="327"/>
        <v>5.0626723404255323</v>
      </c>
      <c r="O177" s="176">
        <f t="shared" si="262"/>
        <v>2.1440000000000001</v>
      </c>
      <c r="P177" s="221">
        <f t="shared" si="328"/>
        <v>0.31641702127659577</v>
      </c>
      <c r="Q177" s="221">
        <f t="shared" si="329"/>
        <v>16</v>
      </c>
      <c r="R177" s="221"/>
      <c r="S177" s="176">
        <f t="shared" si="330"/>
        <v>50.510715256035098</v>
      </c>
      <c r="T177" s="546">
        <f t="shared" si="331"/>
        <v>16</v>
      </c>
      <c r="U177" s="221">
        <f t="shared" si="332"/>
        <v>0.64031953522149598</v>
      </c>
      <c r="V177" s="221">
        <f t="shared" si="333"/>
        <v>1.6007988380537399</v>
      </c>
      <c r="W177" s="221">
        <f t="shared" si="334"/>
        <v>0.98088164096430142</v>
      </c>
      <c r="X177" s="201">
        <f t="shared" si="335"/>
        <v>350</v>
      </c>
      <c r="Y177" s="451">
        <f t="shared" si="303"/>
        <v>350</v>
      </c>
      <c r="AA177" s="221">
        <f t="shared" si="336"/>
        <v>0.70864090316977857</v>
      </c>
      <c r="AB177" s="177">
        <f t="shared" si="337"/>
        <v>1.0855405992184108</v>
      </c>
      <c r="AC177" s="177">
        <f t="shared" si="338"/>
        <v>0.16154427883809541</v>
      </c>
      <c r="AD177" s="177"/>
      <c r="AE177" s="177">
        <f t="shared" si="339"/>
        <v>0.4595588235294118</v>
      </c>
      <c r="AF177" s="555">
        <f t="shared" si="340"/>
        <v>1619.9111111111113</v>
      </c>
      <c r="AG177" s="538">
        <f t="shared" si="341"/>
        <v>2.8952205882352939E-2</v>
      </c>
      <c r="AI177" s="177">
        <f t="shared" si="342"/>
        <v>0.64540574170716158</v>
      </c>
      <c r="AJ177" s="177">
        <f t="shared" si="343"/>
        <v>0.64540574170716158</v>
      </c>
      <c r="AK177" s="177">
        <f t="shared" si="344"/>
        <v>1.4302704944714411</v>
      </c>
      <c r="AM177" s="555">
        <f t="shared" si="345"/>
        <v>134</v>
      </c>
      <c r="AN177" s="469">
        <f t="shared" si="346"/>
        <v>350</v>
      </c>
      <c r="AP177">
        <f t="shared" si="347"/>
        <v>134</v>
      </c>
      <c r="AQ177">
        <f t="shared" si="348"/>
        <v>350</v>
      </c>
      <c r="AS177" s="5">
        <f t="shared" si="263"/>
        <v>2.8571428571428572</v>
      </c>
      <c r="AT177" s="5">
        <f t="shared" si="349"/>
        <v>1.6135143542679038</v>
      </c>
      <c r="AU177" s="5">
        <f t="shared" si="304"/>
        <v>1.2436285028749534</v>
      </c>
      <c r="AV177" s="5"/>
      <c r="AW177" s="177">
        <f t="shared" si="305"/>
        <v>0.56473002399376626</v>
      </c>
      <c r="AX177" s="177">
        <f t="shared" si="259"/>
        <v>2.1868799999999999</v>
      </c>
      <c r="AY177" s="177">
        <f t="shared" si="260"/>
        <v>0.16855544502429701</v>
      </c>
      <c r="AZ177" s="177">
        <f t="shared" si="264"/>
        <v>12.974247136808689</v>
      </c>
      <c r="BA177" s="469">
        <f t="shared" si="350"/>
        <v>8.6504050333139713</v>
      </c>
      <c r="BB177" s="469">
        <f t="shared" si="351"/>
        <v>2.5274592016666668</v>
      </c>
      <c r="BC177" s="5">
        <f t="shared" si="258"/>
        <v>0.15430205498633684</v>
      </c>
      <c r="BD177" s="469">
        <f t="shared" si="352"/>
        <v>25.283884353369441</v>
      </c>
      <c r="BF177" s="177">
        <f t="shared" si="265"/>
        <v>0.28002231145477563</v>
      </c>
      <c r="BG177" s="177">
        <f t="shared" si="261"/>
        <v>0.29500732467474378</v>
      </c>
      <c r="BI177" s="538">
        <f t="shared" si="306"/>
        <v>2.7444373219366377E-2</v>
      </c>
      <c r="BJ177" s="538">
        <f t="shared" si="307"/>
        <v>3.5672866155638236E-2</v>
      </c>
      <c r="BK177" s="538">
        <f t="shared" si="308"/>
        <v>4.3749999999999995E-3</v>
      </c>
      <c r="BL177" s="538">
        <f t="shared" si="309"/>
        <v>1.7457108480000001E-2</v>
      </c>
      <c r="BM177">
        <f t="shared" si="310"/>
        <v>3.48E-3</v>
      </c>
      <c r="BN177">
        <f t="shared" si="353"/>
        <v>6.1250000000000006E-6</v>
      </c>
      <c r="BO177" s="538">
        <f t="shared" si="354"/>
        <v>9.2609389667216546E-2</v>
      </c>
      <c r="BP177" s="469">
        <f t="shared" si="311"/>
        <v>88.429347855004607</v>
      </c>
      <c r="BQ177" s="538">
        <f t="shared" si="355"/>
        <v>8.4433200855688395E-2</v>
      </c>
      <c r="BT177" s="469">
        <f t="shared" si="312"/>
        <v>84.433200855688398</v>
      </c>
      <c r="BU177" s="538">
        <f t="shared" si="313"/>
        <v>7.8412494912475372E-3</v>
      </c>
      <c r="BV177" s="538">
        <f t="shared" si="314"/>
        <v>2.6108796483524906E-3</v>
      </c>
      <c r="BW177" s="538">
        <f t="shared" si="315"/>
        <v>0</v>
      </c>
      <c r="BX177" s="538"/>
      <c r="BY177" s="538">
        <f t="shared" si="316"/>
        <v>7.2896000000000002E-3</v>
      </c>
      <c r="BZ177" s="469">
        <f t="shared" si="317"/>
        <v>17.741729139600029</v>
      </c>
      <c r="CA177" s="177">
        <f t="shared" si="318"/>
        <v>0.19060427785029305</v>
      </c>
      <c r="CB177" s="5">
        <f t="shared" si="319"/>
        <v>2.1440000000000001</v>
      </c>
      <c r="CC177" s="177">
        <f t="shared" si="320"/>
        <v>0.9183569225591407</v>
      </c>
      <c r="CD177" s="5">
        <f t="shared" si="321"/>
        <v>91.835692255914068</v>
      </c>
      <c r="CG177" s="571">
        <f t="shared" si="356"/>
        <v>-50</v>
      </c>
      <c r="CH177">
        <f t="shared" si="357"/>
        <v>-50</v>
      </c>
    </row>
    <row r="178" spans="5:86" x14ac:dyDescent="0.25">
      <c r="E178" s="174">
        <v>68</v>
      </c>
      <c r="F178" s="221">
        <f t="shared" si="358"/>
        <v>0.13600000000000001</v>
      </c>
      <c r="G178" s="221"/>
      <c r="H178" s="221">
        <f t="shared" si="322"/>
        <v>2.1760000000000002</v>
      </c>
      <c r="I178" s="551">
        <f t="shared" si="323"/>
        <v>12</v>
      </c>
      <c r="J178" s="451">
        <f t="shared" si="324"/>
        <v>19.584</v>
      </c>
      <c r="K178" s="451">
        <f t="shared" si="325"/>
        <v>31.584</v>
      </c>
      <c r="L178" s="451"/>
      <c r="M178" s="221">
        <f t="shared" si="326"/>
        <v>0.62006079027355621</v>
      </c>
      <c r="N178" s="176">
        <f t="shared" si="327"/>
        <v>5.0626723404255323</v>
      </c>
      <c r="O178" s="176">
        <f t="shared" si="262"/>
        <v>2.1760000000000002</v>
      </c>
      <c r="P178" s="221">
        <f t="shared" si="328"/>
        <v>0.31641702127659577</v>
      </c>
      <c r="Q178" s="221">
        <f t="shared" si="329"/>
        <v>16</v>
      </c>
      <c r="R178" s="221"/>
      <c r="S178" s="176">
        <f t="shared" si="330"/>
        <v>49.622896705200681</v>
      </c>
      <c r="T178" s="546">
        <f t="shared" si="331"/>
        <v>16</v>
      </c>
      <c r="U178" s="221">
        <f t="shared" si="332"/>
        <v>0.64987654320987653</v>
      </c>
      <c r="V178" s="221">
        <f t="shared" si="333"/>
        <v>1.6246913580246913</v>
      </c>
      <c r="W178" s="221">
        <f t="shared" si="334"/>
        <v>0.99552166545630594</v>
      </c>
      <c r="X178" s="201">
        <f t="shared" si="335"/>
        <v>350</v>
      </c>
      <c r="Y178" s="451">
        <f t="shared" si="303"/>
        <v>350</v>
      </c>
      <c r="AA178" s="221">
        <f t="shared" si="336"/>
        <v>0.70864090316977857</v>
      </c>
      <c r="AB178" s="177">
        <f t="shared" si="337"/>
        <v>1.0855405992184108</v>
      </c>
      <c r="AC178" s="177">
        <f t="shared" si="338"/>
        <v>0.16154427883809541</v>
      </c>
      <c r="AD178" s="177"/>
      <c r="AE178" s="177">
        <f t="shared" si="339"/>
        <v>0.4595588235294118</v>
      </c>
      <c r="AF178" s="555">
        <f t="shared" si="340"/>
        <v>1644.0888888888892</v>
      </c>
      <c r="AG178" s="538">
        <f t="shared" si="341"/>
        <v>2.8952205882352939E-2</v>
      </c>
      <c r="AI178" s="177">
        <f t="shared" si="342"/>
        <v>0.65020436347791011</v>
      </c>
      <c r="AJ178" s="177">
        <f t="shared" si="343"/>
        <v>0.65020436347791011</v>
      </c>
      <c r="AK178" s="177">
        <f t="shared" si="344"/>
        <v>1.43346957565194</v>
      </c>
      <c r="AM178" s="555">
        <f t="shared" si="345"/>
        <v>136</v>
      </c>
      <c r="AN178" s="469">
        <f t="shared" si="346"/>
        <v>350</v>
      </c>
      <c r="AP178">
        <f t="shared" si="347"/>
        <v>136</v>
      </c>
      <c r="AQ178">
        <f t="shared" si="348"/>
        <v>350</v>
      </c>
      <c r="AS178" s="5">
        <f t="shared" si="263"/>
        <v>2.8571428571428572</v>
      </c>
      <c r="AT178" s="5">
        <f t="shared" si="349"/>
        <v>1.6255109086947752</v>
      </c>
      <c r="AU178" s="5">
        <f t="shared" si="304"/>
        <v>1.231631948448082</v>
      </c>
      <c r="AV178" s="5"/>
      <c r="AW178" s="177">
        <f t="shared" si="305"/>
        <v>0.5689288180431713</v>
      </c>
      <c r="AX178" s="177">
        <f t="shared" si="259"/>
        <v>2.2195200000000002</v>
      </c>
      <c r="AY178" s="177">
        <f t="shared" si="260"/>
        <v>0.16817061808674608</v>
      </c>
      <c r="AZ178" s="177">
        <f t="shared" si="264"/>
        <v>13.198024870522408</v>
      </c>
      <c r="BA178" s="469">
        <f t="shared" si="350"/>
        <v>8.6504050333139713</v>
      </c>
      <c r="BB178" s="469">
        <f t="shared" si="351"/>
        <v>2.5973792266666664</v>
      </c>
      <c r="BC178" s="5">
        <f t="shared" si="258"/>
        <v>0.155094393508277</v>
      </c>
      <c r="BD178" s="469">
        <f t="shared" si="352"/>
        <v>25.419547405768768</v>
      </c>
      <c r="BF178" s="177">
        <f t="shared" si="265"/>
        <v>0.28315107754091778</v>
      </c>
      <c r="BG178" s="177">
        <f t="shared" si="261"/>
        <v>0.29576378370419792</v>
      </c>
      <c r="BI178" s="538">
        <f t="shared" si="306"/>
        <v>2.8061086449403989E-2</v>
      </c>
      <c r="BJ178" s="538">
        <f t="shared" si="307"/>
        <v>3.5938095578151044E-2</v>
      </c>
      <c r="BK178" s="538">
        <f t="shared" si="308"/>
        <v>4.3749999999999995E-3</v>
      </c>
      <c r="BL178" s="538">
        <f t="shared" si="309"/>
        <v>1.7457108480000001E-2</v>
      </c>
      <c r="BM178">
        <f t="shared" si="310"/>
        <v>3.48E-3</v>
      </c>
      <c r="BN178">
        <f t="shared" si="353"/>
        <v>6.1250000000000006E-6</v>
      </c>
      <c r="BO178" s="538">
        <f t="shared" si="354"/>
        <v>9.3590203975669334E-2</v>
      </c>
      <c r="BP178" s="469">
        <f t="shared" si="311"/>
        <v>89.311290507555029</v>
      </c>
      <c r="BQ178" s="538">
        <f t="shared" si="355"/>
        <v>8.5367914416891011E-2</v>
      </c>
      <c r="BT178" s="469">
        <f t="shared" si="312"/>
        <v>85.367914416891011</v>
      </c>
      <c r="BU178" s="538">
        <f t="shared" si="313"/>
        <v>8.017453271258284E-3</v>
      </c>
      <c r="BV178" s="538">
        <f t="shared" si="314"/>
        <v>2.6242864725307073E-3</v>
      </c>
      <c r="BW178" s="538">
        <f t="shared" si="315"/>
        <v>0</v>
      </c>
      <c r="BX178" s="538"/>
      <c r="BY178" s="538">
        <f t="shared" si="316"/>
        <v>7.3984000000000003E-3</v>
      </c>
      <c r="BZ178" s="469">
        <f t="shared" si="317"/>
        <v>18.040139743788991</v>
      </c>
      <c r="CA178" s="177">
        <f t="shared" si="318"/>
        <v>0.19271934466823504</v>
      </c>
      <c r="CB178" s="5">
        <f t="shared" si="319"/>
        <v>2.1760000000000002</v>
      </c>
      <c r="CC178" s="177">
        <f t="shared" si="320"/>
        <v>0.91863985697502393</v>
      </c>
      <c r="CD178" s="5">
        <f t="shared" si="321"/>
        <v>91.863985697502386</v>
      </c>
      <c r="CG178" s="571">
        <f t="shared" si="356"/>
        <v>-50</v>
      </c>
      <c r="CH178">
        <f t="shared" si="357"/>
        <v>-50</v>
      </c>
    </row>
    <row r="179" spans="5:86" x14ac:dyDescent="0.25">
      <c r="E179" s="174">
        <v>69</v>
      </c>
      <c r="F179" s="221">
        <f t="shared" si="358"/>
        <v>0.13799999999999998</v>
      </c>
      <c r="G179" s="221"/>
      <c r="H179" s="221">
        <f t="shared" si="322"/>
        <v>2.2079999999999997</v>
      </c>
      <c r="I179" s="551">
        <f t="shared" si="323"/>
        <v>12</v>
      </c>
      <c r="J179" s="451">
        <f t="shared" si="324"/>
        <v>19.584</v>
      </c>
      <c r="K179" s="451">
        <f t="shared" si="325"/>
        <v>31.584</v>
      </c>
      <c r="L179" s="451"/>
      <c r="M179" s="221">
        <f t="shared" si="326"/>
        <v>0.62006079027355621</v>
      </c>
      <c r="N179" s="176">
        <f t="shared" si="327"/>
        <v>5.0626723404255323</v>
      </c>
      <c r="O179" s="176">
        <f t="shared" si="262"/>
        <v>2.2079999999999997</v>
      </c>
      <c r="P179" s="221">
        <f t="shared" si="328"/>
        <v>0.31641702127659577</v>
      </c>
      <c r="Q179" s="221">
        <f t="shared" si="329"/>
        <v>16</v>
      </c>
      <c r="R179" s="221"/>
      <c r="S179" s="176">
        <f t="shared" si="330"/>
        <v>48.76085071780949</v>
      </c>
      <c r="T179" s="546">
        <f t="shared" si="331"/>
        <v>16</v>
      </c>
      <c r="U179" s="221">
        <f t="shared" si="332"/>
        <v>0.65943355119825697</v>
      </c>
      <c r="V179" s="221">
        <f t="shared" si="333"/>
        <v>1.6485838779956425</v>
      </c>
      <c r="W179" s="221">
        <f t="shared" si="334"/>
        <v>1.0101616899483106</v>
      </c>
      <c r="X179" s="201">
        <f t="shared" si="335"/>
        <v>350</v>
      </c>
      <c r="Y179" s="451">
        <f t="shared" si="303"/>
        <v>350</v>
      </c>
      <c r="AA179" s="221">
        <f t="shared" si="336"/>
        <v>0.70864090316977857</v>
      </c>
      <c r="AB179" s="177">
        <f t="shared" si="337"/>
        <v>1.0855405992184108</v>
      </c>
      <c r="AC179" s="177">
        <f t="shared" si="338"/>
        <v>0.16154427883809541</v>
      </c>
      <c r="AD179" s="177"/>
      <c r="AE179" s="177">
        <f t="shared" si="339"/>
        <v>0.4595588235294118</v>
      </c>
      <c r="AF179" s="555">
        <f t="shared" si="340"/>
        <v>1668.2666666666664</v>
      </c>
      <c r="AG179" s="538">
        <f t="shared" si="341"/>
        <v>2.8952205882352939E-2</v>
      </c>
      <c r="AI179" s="177">
        <f t="shared" si="342"/>
        <v>0.65496782908999207</v>
      </c>
      <c r="AJ179" s="177">
        <f t="shared" si="343"/>
        <v>0.65496782908999207</v>
      </c>
      <c r="AK179" s="177">
        <f t="shared" si="344"/>
        <v>1.4366452193933281</v>
      </c>
      <c r="AM179" s="555">
        <f t="shared" si="345"/>
        <v>137.99999999999997</v>
      </c>
      <c r="AN179" s="469">
        <f t="shared" si="346"/>
        <v>350</v>
      </c>
      <c r="AP179">
        <f t="shared" si="347"/>
        <v>137.99999999999997</v>
      </c>
      <c r="AQ179">
        <f t="shared" si="348"/>
        <v>350</v>
      </c>
      <c r="AS179" s="5">
        <f t="shared" si="263"/>
        <v>2.8571428571428572</v>
      </c>
      <c r="AT179" s="5">
        <f t="shared" si="349"/>
        <v>1.6374195727249805</v>
      </c>
      <c r="AU179" s="5">
        <f t="shared" si="304"/>
        <v>1.2197232844178767</v>
      </c>
      <c r="AV179" s="5"/>
      <c r="AW179" s="177">
        <f t="shared" si="305"/>
        <v>0.57309685045374315</v>
      </c>
      <c r="AX179" s="177">
        <f t="shared" si="259"/>
        <v>2.2521599999999995</v>
      </c>
      <c r="AY179" s="177">
        <f t="shared" si="260"/>
        <v>0.16776469745399525</v>
      </c>
      <c r="AZ179" s="177">
        <f t="shared" si="264"/>
        <v>13.424516803468686</v>
      </c>
      <c r="BA179" s="469">
        <f t="shared" si="350"/>
        <v>8.6504050333139713</v>
      </c>
      <c r="BB179" s="469">
        <f t="shared" si="351"/>
        <v>2.668246214999999</v>
      </c>
      <c r="BC179" s="5">
        <f t="shared" si="258"/>
        <v>0.15585353078672867</v>
      </c>
      <c r="BD179" s="469">
        <f t="shared" si="352"/>
        <v>25.549898259209918</v>
      </c>
      <c r="BF179" s="177">
        <f t="shared" si="265"/>
        <v>0.28626836146479723</v>
      </c>
      <c r="BG179" s="177">
        <f t="shared" si="261"/>
        <v>0.29648673452872398</v>
      </c>
      <c r="BI179" s="538">
        <f t="shared" si="306"/>
        <v>2.868235117150893E-2</v>
      </c>
      <c r="BJ179" s="538">
        <f t="shared" si="307"/>
        <v>3.620138184946204E-2</v>
      </c>
      <c r="BK179" s="538">
        <f t="shared" si="308"/>
        <v>4.3749999999999995E-3</v>
      </c>
      <c r="BL179" s="538">
        <f t="shared" si="309"/>
        <v>1.7457108480000001E-2</v>
      </c>
      <c r="BM179">
        <f t="shared" si="310"/>
        <v>3.48E-3</v>
      </c>
      <c r="BN179">
        <f t="shared" si="353"/>
        <v>6.1250000000000006E-6</v>
      </c>
      <c r="BO179" s="538">
        <f t="shared" si="354"/>
        <v>9.4574562448948352E-2</v>
      </c>
      <c r="BP179" s="469">
        <f t="shared" si="311"/>
        <v>90.195841500970971</v>
      </c>
      <c r="BQ179" s="538">
        <f t="shared" si="355"/>
        <v>8.6295474593075322E-2</v>
      </c>
      <c r="BT179" s="469">
        <f t="shared" si="312"/>
        <v>86.295474593075326</v>
      </c>
      <c r="BU179" s="538">
        <f t="shared" si="313"/>
        <v>8.1949574775739813E-3</v>
      </c>
      <c r="BV179" s="538">
        <f t="shared" si="314"/>
        <v>2.6371315125451817E-3</v>
      </c>
      <c r="BW179" s="538">
        <f t="shared" si="315"/>
        <v>0</v>
      </c>
      <c r="BX179" s="538"/>
      <c r="BY179" s="538">
        <f t="shared" si="316"/>
        <v>7.5071999999999995E-3</v>
      </c>
      <c r="BZ179" s="469">
        <f t="shared" si="317"/>
        <v>18.339288990119162</v>
      </c>
      <c r="CA179" s="177">
        <f t="shared" si="318"/>
        <v>0.19483060508416544</v>
      </c>
      <c r="CB179" s="5">
        <f t="shared" si="319"/>
        <v>2.2079999999999997</v>
      </c>
      <c r="CC179" s="177">
        <f t="shared" si="320"/>
        <v>0.91891621295653458</v>
      </c>
      <c r="CD179" s="5">
        <f t="shared" si="321"/>
        <v>91.891621295653465</v>
      </c>
      <c r="CG179" s="571">
        <f t="shared" si="356"/>
        <v>-50</v>
      </c>
      <c r="CH179">
        <f t="shared" si="357"/>
        <v>-50</v>
      </c>
    </row>
    <row r="180" spans="5:86" x14ac:dyDescent="0.25">
      <c r="E180" s="174">
        <v>70</v>
      </c>
      <c r="F180" s="221">
        <f t="shared" si="358"/>
        <v>0.13999999999999999</v>
      </c>
      <c r="G180" s="221"/>
      <c r="H180" s="221">
        <f t="shared" si="322"/>
        <v>2.2399999999999998</v>
      </c>
      <c r="I180" s="551">
        <f t="shared" si="323"/>
        <v>12</v>
      </c>
      <c r="J180" s="451">
        <f t="shared" si="324"/>
        <v>19.584</v>
      </c>
      <c r="K180" s="451">
        <f t="shared" si="325"/>
        <v>31.584</v>
      </c>
      <c r="L180" s="451"/>
      <c r="M180" s="221">
        <f t="shared" si="326"/>
        <v>0.62006079027355621</v>
      </c>
      <c r="N180" s="176">
        <f t="shared" si="327"/>
        <v>5.0626723404255323</v>
      </c>
      <c r="O180" s="176">
        <f t="shared" si="262"/>
        <v>2.2399999999999998</v>
      </c>
      <c r="P180" s="221">
        <f t="shared" si="328"/>
        <v>0.31641702127659577</v>
      </c>
      <c r="Q180" s="221">
        <f t="shared" si="329"/>
        <v>16</v>
      </c>
      <c r="R180" s="221"/>
      <c r="S180" s="176">
        <f t="shared" si="330"/>
        <v>47.92347307335956</v>
      </c>
      <c r="T180" s="546">
        <f t="shared" si="331"/>
        <v>16</v>
      </c>
      <c r="U180" s="221">
        <f t="shared" si="332"/>
        <v>0.66899055918663752</v>
      </c>
      <c r="V180" s="221">
        <f t="shared" si="333"/>
        <v>1.672476397966594</v>
      </c>
      <c r="W180" s="221">
        <f t="shared" si="334"/>
        <v>1.024801714440315</v>
      </c>
      <c r="X180" s="201">
        <f t="shared" si="335"/>
        <v>350</v>
      </c>
      <c r="Y180" s="451">
        <f t="shared" si="303"/>
        <v>350</v>
      </c>
      <c r="AA180" s="221">
        <f t="shared" si="336"/>
        <v>0.70864090316977857</v>
      </c>
      <c r="AB180" s="177">
        <f t="shared" si="337"/>
        <v>1.0855405992184108</v>
      </c>
      <c r="AC180" s="177">
        <f t="shared" si="338"/>
        <v>0.16154427883809541</v>
      </c>
      <c r="AD180" s="177"/>
      <c r="AE180" s="177">
        <f t="shared" si="339"/>
        <v>0.4595588235294118</v>
      </c>
      <c r="AF180" s="555">
        <f t="shared" si="340"/>
        <v>1692.4444444444446</v>
      </c>
      <c r="AG180" s="538">
        <f t="shared" si="341"/>
        <v>2.8952205882352939E-2</v>
      </c>
      <c r="AI180" s="177">
        <f t="shared" si="342"/>
        <v>0.65969690009882564</v>
      </c>
      <c r="AJ180" s="177">
        <f t="shared" si="343"/>
        <v>0.65969690009882564</v>
      </c>
      <c r="AK180" s="177">
        <f t="shared" si="344"/>
        <v>1.439797933399217</v>
      </c>
      <c r="AM180" s="555">
        <f t="shared" si="345"/>
        <v>139.99999999999997</v>
      </c>
      <c r="AN180" s="469">
        <f t="shared" si="346"/>
        <v>350</v>
      </c>
      <c r="AP180">
        <f t="shared" si="347"/>
        <v>139.99999999999997</v>
      </c>
      <c r="AQ180">
        <f t="shared" si="348"/>
        <v>350</v>
      </c>
      <c r="AS180" s="5">
        <f t="shared" si="263"/>
        <v>2.8571428571428572</v>
      </c>
      <c r="AT180" s="5">
        <f t="shared" si="349"/>
        <v>1.6492422502470643</v>
      </c>
      <c r="AU180" s="5">
        <f t="shared" si="304"/>
        <v>1.2079006068957929</v>
      </c>
      <c r="AV180" s="5"/>
      <c r="AW180" s="177">
        <f t="shared" si="305"/>
        <v>0.57723478758647251</v>
      </c>
      <c r="AX180" s="177">
        <f t="shared" si="259"/>
        <v>2.2847999999999997</v>
      </c>
      <c r="AY180" s="177">
        <f t="shared" si="260"/>
        <v>0.1673381400592954</v>
      </c>
      <c r="AZ180" s="177">
        <f t="shared" si="264"/>
        <v>13.65379105558597</v>
      </c>
      <c r="BA180" s="469">
        <f t="shared" si="350"/>
        <v>8.6504050333139713</v>
      </c>
      <c r="BB180" s="469">
        <f t="shared" si="351"/>
        <v>2.740060166666666</v>
      </c>
      <c r="BC180" s="5">
        <f t="shared" si="258"/>
        <v>0.15657970830130644</v>
      </c>
      <c r="BD180" s="469">
        <f t="shared" si="352"/>
        <v>25.674975550431256</v>
      </c>
      <c r="BF180" s="177">
        <f t="shared" si="265"/>
        <v>0.28937437087484258</v>
      </c>
      <c r="BG180" s="177">
        <f t="shared" si="261"/>
        <v>0.29717665085321932</v>
      </c>
      <c r="BI180" s="538">
        <f t="shared" si="306"/>
        <v>2.9308134281723828E-2</v>
      </c>
      <c r="BJ180" s="538">
        <f t="shared" si="307"/>
        <v>3.6462767062262293E-2</v>
      </c>
      <c r="BK180" s="538">
        <f t="shared" si="308"/>
        <v>4.3749999999999995E-3</v>
      </c>
      <c r="BL180" s="538">
        <f t="shared" si="309"/>
        <v>1.7457108480000001E-2</v>
      </c>
      <c r="BM180">
        <f t="shared" si="310"/>
        <v>3.48E-3</v>
      </c>
      <c r="BN180">
        <f t="shared" si="353"/>
        <v>6.1250000000000006E-6</v>
      </c>
      <c r="BO180" s="538">
        <f t="shared" si="354"/>
        <v>9.5562472763173589E-2</v>
      </c>
      <c r="BP180" s="469">
        <f t="shared" si="311"/>
        <v>91.083009823986117</v>
      </c>
      <c r="BQ180" s="538">
        <f t="shared" si="355"/>
        <v>8.721593341231243E-2</v>
      </c>
      <c r="BT180" s="469">
        <f t="shared" si="312"/>
        <v>87.215933412312424</v>
      </c>
      <c r="BU180" s="538">
        <f t="shared" si="313"/>
        <v>8.3737526519210952E-3</v>
      </c>
      <c r="BV180" s="538">
        <f t="shared" si="314"/>
        <v>2.6494188543700866E-3</v>
      </c>
      <c r="BW180" s="538">
        <f t="shared" si="315"/>
        <v>0</v>
      </c>
      <c r="BX180" s="538"/>
      <c r="BY180" s="538">
        <f t="shared" si="316"/>
        <v>7.6159999999999995E-3</v>
      </c>
      <c r="BZ180" s="469">
        <f t="shared" si="317"/>
        <v>18.639171506291177</v>
      </c>
      <c r="CA180" s="177">
        <f t="shared" si="318"/>
        <v>0.19693811474258974</v>
      </c>
      <c r="CB180" s="5">
        <f t="shared" si="319"/>
        <v>2.2399999999999998</v>
      </c>
      <c r="CC180" s="177">
        <f t="shared" si="320"/>
        <v>0.91918624705683505</v>
      </c>
      <c r="CD180" s="5">
        <f t="shared" si="321"/>
        <v>91.918624705683499</v>
      </c>
      <c r="CG180" s="571">
        <f t="shared" si="356"/>
        <v>-50</v>
      </c>
      <c r="CH180">
        <f t="shared" si="357"/>
        <v>-50</v>
      </c>
    </row>
    <row r="181" spans="5:86" x14ac:dyDescent="0.25">
      <c r="E181" s="174">
        <v>71</v>
      </c>
      <c r="F181" s="221">
        <f t="shared" si="358"/>
        <v>0.14199999999999999</v>
      </c>
      <c r="G181" s="221"/>
      <c r="H181" s="221">
        <f t="shared" si="322"/>
        <v>2.2719999999999998</v>
      </c>
      <c r="I181" s="551">
        <f t="shared" si="323"/>
        <v>12</v>
      </c>
      <c r="J181" s="451">
        <f t="shared" si="324"/>
        <v>19.584</v>
      </c>
      <c r="K181" s="451">
        <f t="shared" si="325"/>
        <v>31.584</v>
      </c>
      <c r="L181" s="451"/>
      <c r="M181" s="221">
        <f t="shared" si="326"/>
        <v>0.62006079027355621</v>
      </c>
      <c r="N181" s="176">
        <f t="shared" si="327"/>
        <v>5.0626723404255323</v>
      </c>
      <c r="O181" s="176">
        <f t="shared" si="262"/>
        <v>2.2719999999999998</v>
      </c>
      <c r="P181" s="221">
        <f t="shared" si="328"/>
        <v>0.31641702127659577</v>
      </c>
      <c r="Q181" s="221">
        <f t="shared" si="329"/>
        <v>16</v>
      </c>
      <c r="R181" s="221"/>
      <c r="S181" s="176">
        <f t="shared" si="330"/>
        <v>47.109721764265629</v>
      </c>
      <c r="T181" s="546">
        <f t="shared" si="331"/>
        <v>16</v>
      </c>
      <c r="U181" s="221">
        <f t="shared" si="332"/>
        <v>0.67854756717501807</v>
      </c>
      <c r="V181" s="221">
        <f t="shared" si="333"/>
        <v>1.6963689179375452</v>
      </c>
      <c r="W181" s="221">
        <f t="shared" si="334"/>
        <v>1.0394417389323194</v>
      </c>
      <c r="X181" s="201">
        <f t="shared" si="335"/>
        <v>350</v>
      </c>
      <c r="Y181" s="451">
        <f t="shared" si="303"/>
        <v>350</v>
      </c>
      <c r="AA181" s="221">
        <f t="shared" si="336"/>
        <v>0.70864090316977857</v>
      </c>
      <c r="AB181" s="177">
        <f t="shared" si="337"/>
        <v>1.0855405992184108</v>
      </c>
      <c r="AC181" s="177">
        <f t="shared" si="338"/>
        <v>0.16154427883809541</v>
      </c>
      <c r="AD181" s="177"/>
      <c r="AE181" s="177">
        <f t="shared" si="339"/>
        <v>0.4595588235294118</v>
      </c>
      <c r="AF181" s="555">
        <f t="shared" si="340"/>
        <v>1716.6222222222223</v>
      </c>
      <c r="AG181" s="538">
        <f t="shared" si="341"/>
        <v>2.8952205882352939E-2</v>
      </c>
      <c r="AI181" s="177">
        <f t="shared" si="342"/>
        <v>0.66439231095576567</v>
      </c>
      <c r="AJ181" s="177">
        <f t="shared" si="343"/>
        <v>0.66439231095576567</v>
      </c>
      <c r="AK181" s="177">
        <f t="shared" si="344"/>
        <v>1.4429282073038439</v>
      </c>
      <c r="AM181" s="555">
        <f t="shared" si="345"/>
        <v>142</v>
      </c>
      <c r="AN181" s="469">
        <f t="shared" si="346"/>
        <v>350</v>
      </c>
      <c r="AP181">
        <f t="shared" si="347"/>
        <v>142</v>
      </c>
      <c r="AQ181">
        <f t="shared" si="348"/>
        <v>350</v>
      </c>
      <c r="AS181" s="5">
        <f t="shared" si="263"/>
        <v>2.8571428571428572</v>
      </c>
      <c r="AT181" s="5">
        <f t="shared" si="349"/>
        <v>1.6609807773894141</v>
      </c>
      <c r="AU181" s="5">
        <f t="shared" si="304"/>
        <v>1.1961620797534431</v>
      </c>
      <c r="AV181" s="5"/>
      <c r="AW181" s="177">
        <f t="shared" si="305"/>
        <v>0.58134327208629488</v>
      </c>
      <c r="AX181" s="177">
        <f t="shared" si="259"/>
        <v>2.3174399999999999</v>
      </c>
      <c r="AY181" s="177">
        <f t="shared" si="260"/>
        <v>0.16689138657345945</v>
      </c>
      <c r="AZ181" s="177">
        <f t="shared" si="264"/>
        <v>13.885917347687371</v>
      </c>
      <c r="BA181" s="469">
        <f t="shared" si="350"/>
        <v>8.6504050333139713</v>
      </c>
      <c r="BB181" s="469">
        <f t="shared" si="351"/>
        <v>2.8128210816666659</v>
      </c>
      <c r="BC181" s="5">
        <f t="shared" ref="BC181:BC244" si="359">H181/Efficiency/I181*AU181/Vinripple1</f>
        <v>0.15727316233795269</v>
      </c>
      <c r="BD181" s="469">
        <f t="shared" si="352"/>
        <v>25.794817085183542</v>
      </c>
      <c r="BF181" s="177">
        <f t="shared" si="265"/>
        <v>0.29246930675631294</v>
      </c>
      <c r="BG181" s="177">
        <f t="shared" si="261"/>
        <v>0.2978339859776285</v>
      </c>
      <c r="BI181" s="538">
        <f t="shared" si="306"/>
        <v>2.9938403388081396E-2</v>
      </c>
      <c r="BJ181" s="538">
        <f t="shared" si="307"/>
        <v>3.6722291811147084E-2</v>
      </c>
      <c r="BK181" s="538">
        <f t="shared" si="308"/>
        <v>4.3749999999999995E-3</v>
      </c>
      <c r="BL181" s="538">
        <f t="shared" si="309"/>
        <v>1.7457108480000001E-2</v>
      </c>
      <c r="BM181">
        <f t="shared" si="310"/>
        <v>3.48E-3</v>
      </c>
      <c r="BN181">
        <f t="shared" si="353"/>
        <v>6.1250000000000006E-6</v>
      </c>
      <c r="BO181" s="538">
        <f t="shared" si="354"/>
        <v>9.6553941910589955E-2</v>
      </c>
      <c r="BP181" s="469">
        <f t="shared" si="311"/>
        <v>91.972803679228491</v>
      </c>
      <c r="BQ181" s="538">
        <f t="shared" si="355"/>
        <v>8.8129341783669088E-2</v>
      </c>
      <c r="BT181" s="469">
        <f t="shared" si="312"/>
        <v>88.129341783669091</v>
      </c>
      <c r="BU181" s="538">
        <f t="shared" si="313"/>
        <v>8.5538295394518276E-3</v>
      </c>
      <c r="BV181" s="538">
        <f t="shared" si="314"/>
        <v>2.6611524960996661E-3</v>
      </c>
      <c r="BW181" s="538">
        <f t="shared" si="315"/>
        <v>0</v>
      </c>
      <c r="BX181" s="538"/>
      <c r="BY181" s="538">
        <f t="shared" si="316"/>
        <v>7.7247999999999995E-3</v>
      </c>
      <c r="BZ181" s="469">
        <f t="shared" si="317"/>
        <v>18.939782035551495</v>
      </c>
      <c r="CA181" s="177">
        <f t="shared" si="318"/>
        <v>0.19904192749844907</v>
      </c>
      <c r="CB181" s="5">
        <f t="shared" si="319"/>
        <v>2.2719999999999998</v>
      </c>
      <c r="CC181" s="177">
        <f t="shared" si="320"/>
        <v>0.91945020224729723</v>
      </c>
      <c r="CD181" s="5">
        <f t="shared" si="321"/>
        <v>91.945020224729717</v>
      </c>
      <c r="CG181" s="571">
        <f t="shared" si="356"/>
        <v>-50</v>
      </c>
      <c r="CH181">
        <f t="shared" si="357"/>
        <v>-50</v>
      </c>
    </row>
    <row r="182" spans="5:86" x14ac:dyDescent="0.25">
      <c r="E182" s="174">
        <v>72</v>
      </c>
      <c r="F182" s="221">
        <f t="shared" si="358"/>
        <v>0.14399999999999999</v>
      </c>
      <c r="G182" s="221"/>
      <c r="H182" s="221">
        <f t="shared" si="322"/>
        <v>2.3039999999999998</v>
      </c>
      <c r="I182" s="551">
        <f t="shared" si="323"/>
        <v>12</v>
      </c>
      <c r="J182" s="451">
        <f t="shared" si="324"/>
        <v>19.584</v>
      </c>
      <c r="K182" s="451">
        <f t="shared" si="325"/>
        <v>31.584</v>
      </c>
      <c r="L182" s="451"/>
      <c r="M182" s="221">
        <f t="shared" si="326"/>
        <v>0.62006079027355621</v>
      </c>
      <c r="N182" s="176">
        <f t="shared" si="327"/>
        <v>5.0626723404255323</v>
      </c>
      <c r="O182" s="176">
        <f t="shared" si="262"/>
        <v>2.3039999999999998</v>
      </c>
      <c r="P182" s="221">
        <f t="shared" si="328"/>
        <v>0.31641702127659577</v>
      </c>
      <c r="Q182" s="221">
        <f t="shared" si="329"/>
        <v>16</v>
      </c>
      <c r="R182" s="221"/>
      <c r="S182" s="176">
        <f t="shared" si="330"/>
        <v>46.318612675558356</v>
      </c>
      <c r="T182" s="546">
        <f t="shared" si="331"/>
        <v>16</v>
      </c>
      <c r="U182" s="221">
        <f t="shared" si="332"/>
        <v>0.68810457516339862</v>
      </c>
      <c r="V182" s="221">
        <f t="shared" si="333"/>
        <v>1.7202614379084964</v>
      </c>
      <c r="W182" s="221">
        <f t="shared" si="334"/>
        <v>1.054081763424324</v>
      </c>
      <c r="X182" s="201">
        <f t="shared" si="335"/>
        <v>350</v>
      </c>
      <c r="Y182" s="451">
        <f t="shared" si="303"/>
        <v>350</v>
      </c>
      <c r="AA182" s="221">
        <f t="shared" si="336"/>
        <v>0.70864090316977857</v>
      </c>
      <c r="AB182" s="177">
        <f t="shared" si="337"/>
        <v>1.0855405992184108</v>
      </c>
      <c r="AC182" s="177">
        <f t="shared" si="338"/>
        <v>0.16154427883809541</v>
      </c>
      <c r="AD182" s="177"/>
      <c r="AE182" s="177">
        <f t="shared" si="339"/>
        <v>0.4595588235294118</v>
      </c>
      <c r="AF182" s="555">
        <f t="shared" si="340"/>
        <v>1740.8</v>
      </c>
      <c r="AG182" s="538">
        <f t="shared" si="341"/>
        <v>2.8952205882352939E-2</v>
      </c>
      <c r="AI182" s="177">
        <f t="shared" si="342"/>
        <v>0.66905477033968275</v>
      </c>
      <c r="AJ182" s="177">
        <f t="shared" si="343"/>
        <v>0.66905477033968275</v>
      </c>
      <c r="AK182" s="177">
        <f t="shared" si="344"/>
        <v>1.4460365135597886</v>
      </c>
      <c r="AM182" s="555">
        <f t="shared" si="345"/>
        <v>144</v>
      </c>
      <c r="AN182" s="469">
        <f t="shared" si="346"/>
        <v>350</v>
      </c>
      <c r="AP182">
        <f t="shared" si="347"/>
        <v>144</v>
      </c>
      <c r="AQ182">
        <f t="shared" si="348"/>
        <v>350</v>
      </c>
      <c r="AS182" s="5">
        <f t="shared" si="263"/>
        <v>2.8571428571428572</v>
      </c>
      <c r="AT182" s="5">
        <f t="shared" si="349"/>
        <v>1.6726369258492069</v>
      </c>
      <c r="AU182" s="5">
        <f t="shared" si="304"/>
        <v>1.1845059312936503</v>
      </c>
      <c r="AV182" s="5"/>
      <c r="AW182" s="177">
        <f t="shared" si="305"/>
        <v>0.5854229240472224</v>
      </c>
      <c r="AX182" s="177">
        <f t="shared" si="259"/>
        <v>2.3500799999999997</v>
      </c>
      <c r="AY182" s="177">
        <f t="shared" si="260"/>
        <v>0.1664248622038097</v>
      </c>
      <c r="AZ182" s="177">
        <f t="shared" si="264"/>
        <v>14.120967077154672</v>
      </c>
      <c r="BA182" s="469">
        <f t="shared" si="350"/>
        <v>8.6504050333139713</v>
      </c>
      <c r="BB182" s="469">
        <f t="shared" si="351"/>
        <v>2.8865289599999988</v>
      </c>
      <c r="BC182" s="5">
        <f t="shared" si="359"/>
        <v>0.15793412417248667</v>
      </c>
      <c r="BD182" s="469">
        <f t="shared" si="352"/>
        <v>25.909459867597867</v>
      </c>
      <c r="BF182" s="177">
        <f t="shared" si="265"/>
        <v>0.29555336373580487</v>
      </c>
      <c r="BG182" s="177">
        <f t="shared" si="261"/>
        <v>0.29845917370465697</v>
      </c>
      <c r="BI182" s="538">
        <f t="shared" si="306"/>
        <v>3.0573126785442137E-2</v>
      </c>
      <c r="BJ182" s="538">
        <f t="shared" si="307"/>
        <v>3.6979995266214941E-2</v>
      </c>
      <c r="BK182" s="538">
        <f t="shared" si="308"/>
        <v>4.3749999999999995E-3</v>
      </c>
      <c r="BL182" s="538">
        <f t="shared" si="309"/>
        <v>1.7457108480000001E-2</v>
      </c>
      <c r="BM182">
        <f t="shared" si="310"/>
        <v>3.48E-3</v>
      </c>
      <c r="BN182">
        <f t="shared" si="353"/>
        <v>6.1250000000000006E-6</v>
      </c>
      <c r="BO182" s="538">
        <f t="shared" si="354"/>
        <v>9.7548976244507493E-2</v>
      </c>
      <c r="BP182" s="469">
        <f t="shared" si="311"/>
        <v>92.865230531657076</v>
      </c>
      <c r="BQ182" s="538">
        <f t="shared" si="355"/>
        <v>8.903574953675425E-2</v>
      </c>
      <c r="BT182" s="469">
        <f t="shared" si="312"/>
        <v>89.035749536754253</v>
      </c>
      <c r="BU182" s="538">
        <f t="shared" si="313"/>
        <v>8.7351790815548974E-3</v>
      </c>
      <c r="BV182" s="538">
        <f t="shared" si="314"/>
        <v>2.6723363510539979E-3</v>
      </c>
      <c r="BW182" s="538">
        <f t="shared" si="315"/>
        <v>0</v>
      </c>
      <c r="BX182" s="538"/>
      <c r="BY182" s="538">
        <f t="shared" si="316"/>
        <v>7.8335999999999996E-3</v>
      </c>
      <c r="BZ182" s="469">
        <f t="shared" si="317"/>
        <v>19.241115432608897</v>
      </c>
      <c r="CA182" s="177">
        <f t="shared" si="318"/>
        <v>0.20114209550102022</v>
      </c>
      <c r="CB182" s="5">
        <f t="shared" si="319"/>
        <v>2.3039999999999998</v>
      </c>
      <c r="CC182" s="177">
        <f t="shared" si="320"/>
        <v>0.91970830881719201</v>
      </c>
      <c r="CD182" s="5">
        <f t="shared" si="321"/>
        <v>91.970830881719195</v>
      </c>
      <c r="CG182" s="571">
        <f t="shared" si="356"/>
        <v>-50</v>
      </c>
      <c r="CH182">
        <f t="shared" si="357"/>
        <v>-50</v>
      </c>
    </row>
    <row r="183" spans="5:86" x14ac:dyDescent="0.25">
      <c r="E183" s="174">
        <v>73</v>
      </c>
      <c r="F183" s="221">
        <f t="shared" si="358"/>
        <v>0.14599999999999999</v>
      </c>
      <c r="G183" s="221"/>
      <c r="H183" s="221">
        <f t="shared" si="322"/>
        <v>2.3359999999999999</v>
      </c>
      <c r="I183" s="551">
        <f t="shared" si="323"/>
        <v>12</v>
      </c>
      <c r="J183" s="451">
        <f t="shared" si="324"/>
        <v>19.584</v>
      </c>
      <c r="K183" s="451">
        <f t="shared" si="325"/>
        <v>31.584</v>
      </c>
      <c r="L183" s="451"/>
      <c r="M183" s="221">
        <f t="shared" si="326"/>
        <v>0.62006079027355621</v>
      </c>
      <c r="N183" s="176">
        <f t="shared" si="327"/>
        <v>5.0626723404255323</v>
      </c>
      <c r="O183" s="176">
        <f t="shared" si="262"/>
        <v>2.3359999999999999</v>
      </c>
      <c r="P183" s="221">
        <f t="shared" si="328"/>
        <v>0.31641702127659577</v>
      </c>
      <c r="Q183" s="221">
        <f t="shared" si="329"/>
        <v>16</v>
      </c>
      <c r="R183" s="221"/>
      <c r="S183" s="176">
        <f t="shared" si="330"/>
        <v>45.549215619677177</v>
      </c>
      <c r="T183" s="546">
        <f t="shared" si="331"/>
        <v>16</v>
      </c>
      <c r="U183" s="221">
        <f t="shared" si="332"/>
        <v>0.69766158315177917</v>
      </c>
      <c r="V183" s="221">
        <f t="shared" si="333"/>
        <v>1.744153957879448</v>
      </c>
      <c r="W183" s="221">
        <f t="shared" si="334"/>
        <v>1.0687217879163284</v>
      </c>
      <c r="X183" s="201">
        <f t="shared" si="335"/>
        <v>350</v>
      </c>
      <c r="Y183" s="451">
        <f t="shared" si="303"/>
        <v>350</v>
      </c>
      <c r="AA183" s="221">
        <f t="shared" si="336"/>
        <v>0.70864090316977857</v>
      </c>
      <c r="AB183" s="177">
        <f t="shared" si="337"/>
        <v>1.0855405992184108</v>
      </c>
      <c r="AC183" s="177">
        <f t="shared" si="338"/>
        <v>0.16154427883809541</v>
      </c>
      <c r="AD183" s="177"/>
      <c r="AE183" s="177">
        <f t="shared" si="339"/>
        <v>0.4595588235294118</v>
      </c>
      <c r="AF183" s="555">
        <f t="shared" si="340"/>
        <v>1764.9777777777776</v>
      </c>
      <c r="AG183" s="538">
        <f t="shared" si="341"/>
        <v>2.8952205882352939E-2</v>
      </c>
      <c r="AI183" s="177">
        <f t="shared" si="342"/>
        <v>0.67368496240559539</v>
      </c>
      <c r="AJ183" s="177">
        <f t="shared" si="343"/>
        <v>0.67368496240559539</v>
      </c>
      <c r="AK183" s="177">
        <f t="shared" si="344"/>
        <v>1.4491233082703969</v>
      </c>
      <c r="AM183" s="555">
        <f t="shared" si="345"/>
        <v>146</v>
      </c>
      <c r="AN183" s="469">
        <f t="shared" si="346"/>
        <v>350</v>
      </c>
      <c r="AP183">
        <f t="shared" si="347"/>
        <v>146</v>
      </c>
      <c r="AQ183">
        <f t="shared" si="348"/>
        <v>350</v>
      </c>
      <c r="AS183" s="5">
        <f t="shared" si="263"/>
        <v>2.8571428571428572</v>
      </c>
      <c r="AT183" s="5">
        <f t="shared" si="349"/>
        <v>1.6842124060139883</v>
      </c>
      <c r="AU183" s="5">
        <f t="shared" si="304"/>
        <v>1.172930451128869</v>
      </c>
      <c r="AV183" s="5"/>
      <c r="AW183" s="177">
        <f t="shared" si="305"/>
        <v>0.58947434210489591</v>
      </c>
      <c r="AX183" s="177">
        <f t="shared" si="259"/>
        <v>2.3827199999999995</v>
      </c>
      <c r="AY183" s="177">
        <f t="shared" si="260"/>
        <v>0.16593897744335731</v>
      </c>
      <c r="AZ183" s="177">
        <f t="shared" si="264"/>
        <v>14.359013395833012</v>
      </c>
      <c r="BA183" s="469">
        <f t="shared" si="350"/>
        <v>8.6504050333139713</v>
      </c>
      <c r="BB183" s="469">
        <f t="shared" si="351"/>
        <v>2.9611838016666656</v>
      </c>
      <c r="BC183" s="5">
        <f t="shared" si="359"/>
        <v>0.15856282024519894</v>
      </c>
      <c r="BD183" s="469">
        <f t="shared" si="352"/>
        <v>26.018940128120715</v>
      </c>
      <c r="BF183" s="177">
        <f t="shared" si="265"/>
        <v>0.29862673036781218</v>
      </c>
      <c r="BG183" s="177">
        <f t="shared" si="261"/>
        <v>0.29905262918831005</v>
      </c>
      <c r="BI183" s="538">
        <f t="shared" si="306"/>
        <v>3.1212273431559499E-2</v>
      </c>
      <c r="BJ183" s="538">
        <f t="shared" si="307"/>
        <v>3.7235915242082071E-2</v>
      </c>
      <c r="BK183" s="538">
        <f t="shared" si="308"/>
        <v>4.3749999999999995E-3</v>
      </c>
      <c r="BL183" s="538">
        <f t="shared" si="309"/>
        <v>1.7457108480000001E-2</v>
      </c>
      <c r="BM183">
        <f t="shared" si="310"/>
        <v>3.48E-3</v>
      </c>
      <c r="BN183">
        <f t="shared" si="353"/>
        <v>6.1250000000000006E-6</v>
      </c>
      <c r="BO183" s="538">
        <f t="shared" si="354"/>
        <v>9.8547581521055874E-2</v>
      </c>
      <c r="BP183" s="469">
        <f t="shared" si="311"/>
        <v>93.760297153641559</v>
      </c>
      <c r="BQ183" s="538">
        <f t="shared" si="355"/>
        <v>8.993520545933642E-2</v>
      </c>
      <c r="BT183" s="469">
        <f t="shared" si="312"/>
        <v>89.935205459336416</v>
      </c>
      <c r="BU183" s="538">
        <f t="shared" si="313"/>
        <v>8.9177924090169999E-3</v>
      </c>
      <c r="BV183" s="538">
        <f t="shared" si="314"/>
        <v>2.6829742507332261E-3</v>
      </c>
      <c r="BW183" s="538">
        <f t="shared" si="315"/>
        <v>0</v>
      </c>
      <c r="BX183" s="538"/>
      <c r="BY183" s="538">
        <f t="shared" si="316"/>
        <v>7.9423999999999988E-3</v>
      </c>
      <c r="BZ183" s="469">
        <f t="shared" si="317"/>
        <v>19.543166659750224</v>
      </c>
      <c r="CA183" s="177">
        <f t="shared" si="318"/>
        <v>0.20323866927272818</v>
      </c>
      <c r="CB183" s="5">
        <f t="shared" si="319"/>
        <v>2.3359999999999999</v>
      </c>
      <c r="CC183" s="177">
        <f t="shared" si="320"/>
        <v>0.91996078520222813</v>
      </c>
      <c r="CD183" s="5">
        <f t="shared" si="321"/>
        <v>91.99607852022281</v>
      </c>
      <c r="CG183" s="571">
        <f t="shared" si="356"/>
        <v>-50</v>
      </c>
      <c r="CH183">
        <f t="shared" si="357"/>
        <v>-50</v>
      </c>
    </row>
    <row r="184" spans="5:86" x14ac:dyDescent="0.25">
      <c r="E184" s="174">
        <v>74</v>
      </c>
      <c r="F184" s="221">
        <f t="shared" si="358"/>
        <v>0.14799999999999999</v>
      </c>
      <c r="G184" s="221"/>
      <c r="H184" s="221">
        <f t="shared" si="322"/>
        <v>2.3679999999999999</v>
      </c>
      <c r="I184" s="551">
        <f t="shared" si="323"/>
        <v>12</v>
      </c>
      <c r="J184" s="451">
        <f t="shared" si="324"/>
        <v>19.584</v>
      </c>
      <c r="K184" s="451">
        <f t="shared" si="325"/>
        <v>31.584</v>
      </c>
      <c r="L184" s="451"/>
      <c r="M184" s="221">
        <f t="shared" si="326"/>
        <v>0.62006079027355621</v>
      </c>
      <c r="N184" s="176">
        <f t="shared" si="327"/>
        <v>5.0626723404255323</v>
      </c>
      <c r="O184" s="176">
        <f t="shared" si="262"/>
        <v>2.3679999999999999</v>
      </c>
      <c r="P184" s="221">
        <f t="shared" si="328"/>
        <v>0.31641702127659577</v>
      </c>
      <c r="Q184" s="221">
        <f t="shared" si="329"/>
        <v>16</v>
      </c>
      <c r="R184" s="221"/>
      <c r="S184" s="176">
        <f t="shared" si="330"/>
        <v>44.800650692767022</v>
      </c>
      <c r="T184" s="546">
        <f t="shared" si="331"/>
        <v>16</v>
      </c>
      <c r="U184" s="221">
        <f t="shared" si="332"/>
        <v>0.70721859114015972</v>
      </c>
      <c r="V184" s="221">
        <f t="shared" si="333"/>
        <v>1.7680464778503995</v>
      </c>
      <c r="W184" s="221">
        <f t="shared" si="334"/>
        <v>1.0833618124083331</v>
      </c>
      <c r="X184" s="201">
        <f t="shared" si="335"/>
        <v>350</v>
      </c>
      <c r="Y184" s="451">
        <f t="shared" si="303"/>
        <v>350</v>
      </c>
      <c r="AA184" s="221">
        <f t="shared" si="336"/>
        <v>0.70864090316977857</v>
      </c>
      <c r="AB184" s="177">
        <f t="shared" si="337"/>
        <v>1.0855405992184108</v>
      </c>
      <c r="AC184" s="177">
        <f t="shared" si="338"/>
        <v>0.16154427883809541</v>
      </c>
      <c r="AD184" s="177"/>
      <c r="AE184" s="177">
        <f t="shared" si="339"/>
        <v>0.4595588235294118</v>
      </c>
      <c r="AF184" s="555">
        <f t="shared" si="340"/>
        <v>1789.1555555555558</v>
      </c>
      <c r="AG184" s="538">
        <f t="shared" si="341"/>
        <v>2.8952205882352939E-2</v>
      </c>
      <c r="AI184" s="177">
        <f t="shared" si="342"/>
        <v>0.67828354795658385</v>
      </c>
      <c r="AJ184" s="177">
        <f t="shared" si="343"/>
        <v>0.67828354795658385</v>
      </c>
      <c r="AK184" s="177">
        <f t="shared" si="344"/>
        <v>1.452189031971056</v>
      </c>
      <c r="AM184" s="555">
        <f t="shared" si="345"/>
        <v>148</v>
      </c>
      <c r="AN184" s="469">
        <f t="shared" si="346"/>
        <v>350</v>
      </c>
      <c r="AP184">
        <f t="shared" si="347"/>
        <v>148</v>
      </c>
      <c r="AQ184">
        <f t="shared" si="348"/>
        <v>350</v>
      </c>
      <c r="AS184" s="5">
        <f t="shared" si="263"/>
        <v>2.8571428571428572</v>
      </c>
      <c r="AT184" s="5">
        <f t="shared" si="349"/>
        <v>1.6957088698914595</v>
      </c>
      <c r="AU184" s="5">
        <f t="shared" si="304"/>
        <v>1.1614339872513977</v>
      </c>
      <c r="AV184" s="5"/>
      <c r="AW184" s="177">
        <f t="shared" si="305"/>
        <v>0.59349810446201079</v>
      </c>
      <c r="AX184" s="177">
        <f t="shared" si="259"/>
        <v>2.4153599999999997</v>
      </c>
      <c r="AY184" s="177">
        <f t="shared" si="260"/>
        <v>0.16543412877395036</v>
      </c>
      <c r="AZ184" s="177">
        <f t="shared" si="264"/>
        <v>14.600131290323741</v>
      </c>
      <c r="BA184" s="469">
        <f t="shared" si="350"/>
        <v>8.6504050333139713</v>
      </c>
      <c r="BB184" s="469">
        <f t="shared" si="351"/>
        <v>3.0367856066666654</v>
      </c>
      <c r="BC184" s="5">
        <f t="shared" si="359"/>
        <v>0.15915947232704336</v>
      </c>
      <c r="BD184" s="469">
        <f t="shared" si="352"/>
        <v>26.123293350104717</v>
      </c>
      <c r="BF184" s="177">
        <f t="shared" si="265"/>
        <v>0.30168958940462975</v>
      </c>
      <c r="BG184" s="177">
        <f t="shared" si="261"/>
        <v>0.29961474972758123</v>
      </c>
      <c r="BI184" s="538">
        <f t="shared" si="306"/>
        <v>3.1855812924296928E-2</v>
      </c>
      <c r="BJ184" s="538">
        <f t="shared" si="307"/>
        <v>3.7490088262656304E-2</v>
      </c>
      <c r="BK184" s="538">
        <f t="shared" si="308"/>
        <v>4.3749999999999995E-3</v>
      </c>
      <c r="BL184" s="538">
        <f t="shared" si="309"/>
        <v>1.7457108480000001E-2</v>
      </c>
      <c r="BM184">
        <f t="shared" si="310"/>
        <v>3.48E-3</v>
      </c>
      <c r="BN184">
        <f t="shared" si="353"/>
        <v>6.1250000000000006E-6</v>
      </c>
      <c r="BO184" s="538">
        <f t="shared" si="354"/>
        <v>9.9549762938011016E-2</v>
      </c>
      <c r="BP184" s="469">
        <f t="shared" si="311"/>
        <v>94.658009666953234</v>
      </c>
      <c r="BQ184" s="538">
        <f t="shared" si="355"/>
        <v>9.0827757333150683E-2</v>
      </c>
      <c r="BT184" s="469">
        <f t="shared" si="312"/>
        <v>90.827757333150686</v>
      </c>
      <c r="BU184" s="538">
        <f t="shared" si="313"/>
        <v>9.1016608355134095E-3</v>
      </c>
      <c r="BV184" s="538">
        <f t="shared" si="314"/>
        <v>2.6930699476296338E-3</v>
      </c>
      <c r="BW184" s="538">
        <f t="shared" si="315"/>
        <v>0</v>
      </c>
      <c r="BX184" s="538"/>
      <c r="BY184" s="538">
        <f t="shared" si="316"/>
        <v>8.0511999999999997E-3</v>
      </c>
      <c r="BZ184" s="469">
        <f t="shared" si="317"/>
        <v>19.845930783143043</v>
      </c>
      <c r="CA184" s="177">
        <f t="shared" si="318"/>
        <v>0.20533169778324697</v>
      </c>
      <c r="CB184" s="5">
        <f t="shared" si="319"/>
        <v>2.3679999999999999</v>
      </c>
      <c r="CC184" s="177">
        <f t="shared" si="320"/>
        <v>0.92020783874844958</v>
      </c>
      <c r="CD184" s="5">
        <f t="shared" si="321"/>
        <v>92.020783874844952</v>
      </c>
      <c r="CG184" s="571">
        <f t="shared" si="356"/>
        <v>-50</v>
      </c>
      <c r="CH184">
        <f t="shared" si="357"/>
        <v>-50</v>
      </c>
    </row>
    <row r="185" spans="5:86" x14ac:dyDescent="0.25">
      <c r="E185" s="174">
        <v>75</v>
      </c>
      <c r="F185" s="221">
        <f t="shared" si="358"/>
        <v>0.15000000000000002</v>
      </c>
      <c r="G185" s="221"/>
      <c r="H185" s="221">
        <f t="shared" si="322"/>
        <v>2.4000000000000004</v>
      </c>
      <c r="I185" s="551">
        <f t="shared" si="323"/>
        <v>12</v>
      </c>
      <c r="J185" s="451">
        <f t="shared" si="324"/>
        <v>19.584</v>
      </c>
      <c r="K185" s="451">
        <f t="shared" si="325"/>
        <v>31.584</v>
      </c>
      <c r="L185" s="451"/>
      <c r="M185" s="221">
        <f t="shared" si="326"/>
        <v>0.62006079027355621</v>
      </c>
      <c r="N185" s="176">
        <f t="shared" si="327"/>
        <v>5.0626723404255323</v>
      </c>
      <c r="O185" s="176">
        <f t="shared" si="262"/>
        <v>2.4000000000000004</v>
      </c>
      <c r="P185" s="221">
        <f t="shared" si="328"/>
        <v>0.31641702127659577</v>
      </c>
      <c r="Q185" s="221">
        <f t="shared" si="329"/>
        <v>16</v>
      </c>
      <c r="R185" s="221"/>
      <c r="S185" s="176">
        <f t="shared" si="330"/>
        <v>44.072084922471838</v>
      </c>
      <c r="T185" s="546">
        <f t="shared" si="331"/>
        <v>16</v>
      </c>
      <c r="U185" s="221">
        <f t="shared" si="332"/>
        <v>0.71677559912854039</v>
      </c>
      <c r="V185" s="221">
        <f t="shared" si="333"/>
        <v>1.7919389978213511</v>
      </c>
      <c r="W185" s="221">
        <f t="shared" si="334"/>
        <v>1.0980018369003377</v>
      </c>
      <c r="X185" s="201">
        <f t="shared" si="335"/>
        <v>350</v>
      </c>
      <c r="Y185" s="451">
        <f t="shared" si="303"/>
        <v>346.02784527120031</v>
      </c>
      <c r="AA185" s="221">
        <f t="shared" si="336"/>
        <v>0.70864090316977857</v>
      </c>
      <c r="AB185" s="177">
        <f t="shared" si="337"/>
        <v>1.0855405992184108</v>
      </c>
      <c r="AC185" s="177">
        <f t="shared" si="338"/>
        <v>0.16154427883809541</v>
      </c>
      <c r="AD185" s="177"/>
      <c r="AE185" s="177">
        <f t="shared" si="339"/>
        <v>0.4595588235294118</v>
      </c>
      <c r="AF185" s="555">
        <f t="shared" si="340"/>
        <v>1813.3333333333337</v>
      </c>
      <c r="AG185" s="538">
        <f t="shared" si="341"/>
        <v>2.8952205882352939E-2</v>
      </c>
      <c r="AI185" s="177">
        <f t="shared" si="342"/>
        <v>0.68285116554466996</v>
      </c>
      <c r="AJ185" s="177">
        <f t="shared" si="343"/>
        <v>0.68285116554466996</v>
      </c>
      <c r="AK185" s="177">
        <f t="shared" si="344"/>
        <v>1.4552341103631132</v>
      </c>
      <c r="AM185" s="555">
        <f t="shared" si="345"/>
        <v>150.00000000000003</v>
      </c>
      <c r="AN185" s="469">
        <f t="shared" si="346"/>
        <v>346.02784527120031</v>
      </c>
      <c r="AP185">
        <f t="shared" si="347"/>
        <v>150.00000000000003</v>
      </c>
      <c r="AQ185">
        <f t="shared" si="348"/>
        <v>346.02784527120031</v>
      </c>
      <c r="AS185" s="5">
        <f t="shared" si="263"/>
        <v>2.8899408347216888</v>
      </c>
      <c r="AT185" s="5">
        <f t="shared" si="349"/>
        <v>1.7071279138616748</v>
      </c>
      <c r="AU185" s="5">
        <f t="shared" si="304"/>
        <v>1.182812920860014</v>
      </c>
      <c r="AV185" s="5"/>
      <c r="AW185" s="177">
        <f t="shared" si="305"/>
        <v>0.59071379363587462</v>
      </c>
      <c r="AX185" s="177">
        <f t="shared" si="259"/>
        <v>2.4202176149254235</v>
      </c>
      <c r="AY185" s="177">
        <f t="shared" si="260"/>
        <v>0.16768893783425962</v>
      </c>
      <c r="AZ185" s="177">
        <f t="shared" si="264"/>
        <v>14.432780397938462</v>
      </c>
      <c r="BA185" s="469">
        <f t="shared" si="350"/>
        <v>8.6504050333139713</v>
      </c>
      <c r="BB185" s="469">
        <f t="shared" si="351"/>
        <v>3.1133343750000004</v>
      </c>
      <c r="BC185" s="5">
        <f t="shared" si="359"/>
        <v>0.16427957234166862</v>
      </c>
      <c r="BD185" s="469">
        <f t="shared" si="352"/>
        <v>26.951398241333646</v>
      </c>
      <c r="BF185" s="177">
        <f t="shared" si="265"/>
        <v>0.30300792245084279</v>
      </c>
      <c r="BG185" s="177">
        <f t="shared" si="261"/>
        <v>0.30266362404368569</v>
      </c>
      <c r="BI185" s="538">
        <f t="shared" si="306"/>
        <v>3.2134830373791584E-2</v>
      </c>
      <c r="BJ185" s="538">
        <f t="shared" si="307"/>
        <v>3.7314208916390923E-2</v>
      </c>
      <c r="BK185" s="538">
        <f t="shared" si="308"/>
        <v>4.3253480658900041E-3</v>
      </c>
      <c r="BL185" s="538">
        <f t="shared" si="309"/>
        <v>1.7258987519999998E-2</v>
      </c>
      <c r="BM185">
        <f t="shared" si="310"/>
        <v>3.48E-3</v>
      </c>
      <c r="BN185">
        <f t="shared" si="353"/>
        <v>6.0554872922460054E-6</v>
      </c>
      <c r="BO185" s="538">
        <f t="shared" si="354"/>
        <v>9.9447242855542725E-2</v>
      </c>
      <c r="BP185" s="469">
        <f t="shared" si="311"/>
        <v>94.513374876072518</v>
      </c>
      <c r="BQ185" s="538">
        <f t="shared" si="355"/>
        <v>9.2293212879956371E-2</v>
      </c>
      <c r="BT185" s="469">
        <f t="shared" si="312"/>
        <v>92.293212879956371</v>
      </c>
      <c r="BU185" s="538">
        <f t="shared" si="313"/>
        <v>9.1813801067975962E-3</v>
      </c>
      <c r="BV185" s="538">
        <f t="shared" si="314"/>
        <v>2.7481580795777252E-3</v>
      </c>
      <c r="BW185" s="538">
        <f t="shared" si="315"/>
        <v>0</v>
      </c>
      <c r="BX185" s="538"/>
      <c r="BY185" s="538">
        <f t="shared" si="316"/>
        <v>8.0673920497514109E-3</v>
      </c>
      <c r="BZ185" s="469">
        <f t="shared" si="317"/>
        <v>19.996930236126733</v>
      </c>
      <c r="CA185" s="177">
        <f t="shared" si="318"/>
        <v>0.2068035179921556</v>
      </c>
      <c r="CB185" s="5">
        <f t="shared" si="319"/>
        <v>2.4000000000000004</v>
      </c>
      <c r="CC185" s="177">
        <f t="shared" si="320"/>
        <v>0.92066777700551727</v>
      </c>
      <c r="CD185" s="5">
        <f t="shared" si="321"/>
        <v>92.066777700551725</v>
      </c>
      <c r="CG185" s="571">
        <f t="shared" si="356"/>
        <v>-50</v>
      </c>
      <c r="CH185">
        <f t="shared" si="357"/>
        <v>-50</v>
      </c>
    </row>
    <row r="186" spans="5:86" x14ac:dyDescent="0.25">
      <c r="E186" s="174">
        <v>76</v>
      </c>
      <c r="F186" s="221">
        <f t="shared" si="358"/>
        <v>0.15200000000000002</v>
      </c>
      <c r="G186" s="221"/>
      <c r="H186" s="221">
        <f t="shared" si="322"/>
        <v>2.4320000000000004</v>
      </c>
      <c r="I186" s="551">
        <f t="shared" si="323"/>
        <v>12</v>
      </c>
      <c r="J186" s="451">
        <f t="shared" si="324"/>
        <v>19.584</v>
      </c>
      <c r="K186" s="451">
        <f t="shared" si="325"/>
        <v>31.584</v>
      </c>
      <c r="L186" s="451"/>
      <c r="M186" s="221">
        <f t="shared" si="326"/>
        <v>0.62006079027355621</v>
      </c>
      <c r="N186" s="176">
        <f t="shared" si="327"/>
        <v>5.0626723404255323</v>
      </c>
      <c r="O186" s="176">
        <f t="shared" si="262"/>
        <v>2.4320000000000004</v>
      </c>
      <c r="P186" s="221">
        <f t="shared" si="328"/>
        <v>0.31641702127659577</v>
      </c>
      <c r="Q186" s="221">
        <f t="shared" si="329"/>
        <v>16</v>
      </c>
      <c r="R186" s="221"/>
      <c r="S186" s="176">
        <f t="shared" si="330"/>
        <v>43.362729180376661</v>
      </c>
      <c r="T186" s="546">
        <f t="shared" si="331"/>
        <v>16</v>
      </c>
      <c r="U186" s="221">
        <f t="shared" si="332"/>
        <v>0.72633260711692094</v>
      </c>
      <c r="V186" s="221">
        <f t="shared" si="333"/>
        <v>1.8158315177923023</v>
      </c>
      <c r="W186" s="221">
        <f t="shared" si="334"/>
        <v>1.1126418613923421</v>
      </c>
      <c r="X186" s="201">
        <f t="shared" si="335"/>
        <v>350</v>
      </c>
      <c r="Y186" s="451">
        <f t="shared" si="303"/>
        <v>341.47484730710556</v>
      </c>
      <c r="AA186" s="221">
        <f t="shared" si="336"/>
        <v>0.70864090316977857</v>
      </c>
      <c r="AB186" s="177">
        <f t="shared" si="337"/>
        <v>1.0855405992184108</v>
      </c>
      <c r="AC186" s="177">
        <f t="shared" si="338"/>
        <v>0.16154427883809541</v>
      </c>
      <c r="AD186" s="177"/>
      <c r="AE186" s="177">
        <f t="shared" si="339"/>
        <v>0.4595588235294118</v>
      </c>
      <c r="AF186" s="555">
        <f t="shared" si="340"/>
        <v>1837.5111111111114</v>
      </c>
      <c r="AG186" s="538">
        <f t="shared" si="341"/>
        <v>2.8952205882352939E-2</v>
      </c>
      <c r="AI186" s="177">
        <f t="shared" si="342"/>
        <v>0.68738843250585557</v>
      </c>
      <c r="AJ186" s="177">
        <f t="shared" si="343"/>
        <v>0.68738843250585557</v>
      </c>
      <c r="AK186" s="177">
        <f t="shared" si="344"/>
        <v>1.4582589550039038</v>
      </c>
      <c r="AM186" s="555">
        <f t="shared" si="345"/>
        <v>152.00000000000003</v>
      </c>
      <c r="AN186" s="469">
        <f t="shared" si="346"/>
        <v>341.47484730710556</v>
      </c>
      <c r="AP186">
        <f t="shared" si="347"/>
        <v>152.00000000000003</v>
      </c>
      <c r="AQ186">
        <f t="shared" si="348"/>
        <v>341.47484730710556</v>
      </c>
      <c r="AS186" s="5">
        <f t="shared" si="263"/>
        <v>2.9284733791846445</v>
      </c>
      <c r="AT186" s="5">
        <f t="shared" si="349"/>
        <v>1.7184710812646389</v>
      </c>
      <c r="AU186" s="5">
        <f t="shared" si="304"/>
        <v>1.2100022979200056</v>
      </c>
      <c r="AV186" s="5"/>
      <c r="AW186" s="177">
        <f t="shared" si="305"/>
        <v>0.58681465007651923</v>
      </c>
      <c r="AX186" s="177">
        <f t="shared" si="259"/>
        <v>2.420217614925424</v>
      </c>
      <c r="AY186" s="177">
        <f t="shared" si="260"/>
        <v>0.17041129801097094</v>
      </c>
      <c r="AZ186" s="177">
        <f t="shared" si="264"/>
        <v>14.202213369500962</v>
      </c>
      <c r="BA186" s="469">
        <f t="shared" si="350"/>
        <v>8.6504050333139713</v>
      </c>
      <c r="BB186" s="469">
        <f t="shared" si="351"/>
        <v>3.1908301066666671</v>
      </c>
      <c r="BC186" s="5">
        <f t="shared" si="359"/>
        <v>0.17029661970726007</v>
      </c>
      <c r="BD186" s="469">
        <f t="shared" si="352"/>
        <v>27.923014708717169</v>
      </c>
      <c r="BF186" s="177">
        <f t="shared" si="265"/>
        <v>0.30401293764928339</v>
      </c>
      <c r="BG186" s="177">
        <f t="shared" si="261"/>
        <v>0.30612253105062298</v>
      </c>
      <c r="BI186" s="538">
        <f t="shared" si="306"/>
        <v>3.2348353190351474E-2</v>
      </c>
      <c r="BJ186" s="538">
        <f t="shared" si="307"/>
        <v>3.7067907816033564E-2</v>
      </c>
      <c r="BK186" s="538">
        <f t="shared" si="308"/>
        <v>4.26843559133882E-3</v>
      </c>
      <c r="BL186" s="538">
        <f t="shared" si="309"/>
        <v>1.7031895578947367E-2</v>
      </c>
      <c r="BM186">
        <f t="shared" si="310"/>
        <v>3.48E-3</v>
      </c>
      <c r="BN186">
        <f t="shared" si="353"/>
        <v>5.9758098278743478E-6</v>
      </c>
      <c r="BO186" s="538">
        <f t="shared" si="354"/>
        <v>9.9161417898181933E-2</v>
      </c>
      <c r="BP186" s="469">
        <f t="shared" si="311"/>
        <v>94.196592176671231</v>
      </c>
      <c r="BQ186" s="538">
        <f t="shared" si="355"/>
        <v>9.3861603534432764E-2</v>
      </c>
      <c r="BT186" s="469">
        <f t="shared" si="312"/>
        <v>93.86160353443276</v>
      </c>
      <c r="BU186" s="538">
        <f t="shared" si="313"/>
        <v>9.2423866258147074E-3</v>
      </c>
      <c r="BV186" s="538">
        <f t="shared" si="314"/>
        <v>2.8113301205051886E-3</v>
      </c>
      <c r="BW186" s="538">
        <f t="shared" si="315"/>
        <v>0</v>
      </c>
      <c r="BX186" s="538"/>
      <c r="BY186" s="538">
        <f t="shared" si="316"/>
        <v>8.0673920497514144E-3</v>
      </c>
      <c r="BZ186" s="469">
        <f t="shared" si="317"/>
        <v>20.121108796071312</v>
      </c>
      <c r="CA186" s="177">
        <f t="shared" si="318"/>
        <v>0.20817930450717528</v>
      </c>
      <c r="CB186" s="5">
        <f t="shared" si="319"/>
        <v>2.4320000000000004</v>
      </c>
      <c r="CC186" s="177">
        <f t="shared" si="320"/>
        <v>0.92114955823197975</v>
      </c>
      <c r="CD186" s="5">
        <f t="shared" si="321"/>
        <v>92.114955823197974</v>
      </c>
      <c r="CG186" s="571">
        <f t="shared" si="356"/>
        <v>-50</v>
      </c>
      <c r="CH186">
        <f t="shared" si="357"/>
        <v>-50</v>
      </c>
    </row>
    <row r="187" spans="5:86" x14ac:dyDescent="0.25">
      <c r="E187" s="174">
        <v>77</v>
      </c>
      <c r="F187" s="221">
        <f t="shared" si="358"/>
        <v>0.15400000000000003</v>
      </c>
      <c r="G187" s="221"/>
      <c r="H187" s="221">
        <f t="shared" si="322"/>
        <v>2.4640000000000004</v>
      </c>
      <c r="I187" s="551">
        <f t="shared" si="323"/>
        <v>12</v>
      </c>
      <c r="J187" s="451">
        <f t="shared" si="324"/>
        <v>19.584</v>
      </c>
      <c r="K187" s="451">
        <f t="shared" si="325"/>
        <v>31.584</v>
      </c>
      <c r="L187" s="451"/>
      <c r="M187" s="221">
        <f t="shared" si="326"/>
        <v>0.62006079027355621</v>
      </c>
      <c r="N187" s="176">
        <f t="shared" si="327"/>
        <v>5.0626723404255323</v>
      </c>
      <c r="O187" s="176">
        <f t="shared" si="262"/>
        <v>2.4640000000000004</v>
      </c>
      <c r="P187" s="221">
        <f t="shared" si="328"/>
        <v>0.31641702127659577</v>
      </c>
      <c r="Q187" s="221">
        <f t="shared" si="329"/>
        <v>16</v>
      </c>
      <c r="R187" s="221"/>
      <c r="S187" s="176">
        <f t="shared" si="330"/>
        <v>42.671835335038985</v>
      </c>
      <c r="T187" s="546">
        <f t="shared" si="331"/>
        <v>16</v>
      </c>
      <c r="U187" s="221">
        <f t="shared" si="332"/>
        <v>0.73588961510530149</v>
      </c>
      <c r="V187" s="221">
        <f t="shared" si="333"/>
        <v>1.8397240377632538</v>
      </c>
      <c r="W187" s="221">
        <f t="shared" si="334"/>
        <v>1.1272818858843467</v>
      </c>
      <c r="X187" s="201">
        <f t="shared" si="335"/>
        <v>350</v>
      </c>
      <c r="Y187" s="451">
        <f t="shared" si="303"/>
        <v>337.04010903038989</v>
      </c>
      <c r="AA187" s="221">
        <f t="shared" si="336"/>
        <v>0.70864090316977857</v>
      </c>
      <c r="AB187" s="177">
        <f t="shared" si="337"/>
        <v>1.0855405992184108</v>
      </c>
      <c r="AC187" s="177">
        <f t="shared" si="338"/>
        <v>0.16154427883809541</v>
      </c>
      <c r="AD187" s="177"/>
      <c r="AE187" s="177">
        <f t="shared" si="339"/>
        <v>0.4595588235294118</v>
      </c>
      <c r="AF187" s="555">
        <f t="shared" si="340"/>
        <v>1861.6888888888896</v>
      </c>
      <c r="AG187" s="538">
        <f t="shared" si="341"/>
        <v>2.8952205882352939E-2</v>
      </c>
      <c r="AI187" s="177">
        <f t="shared" si="342"/>
        <v>0.69189594593406889</v>
      </c>
      <c r="AJ187" s="177">
        <f t="shared" si="343"/>
        <v>0.69189594593406889</v>
      </c>
      <c r="AK187" s="177">
        <f t="shared" si="344"/>
        <v>1.4612639639560459</v>
      </c>
      <c r="AM187" s="555">
        <f t="shared" si="345"/>
        <v>154.00000000000003</v>
      </c>
      <c r="AN187" s="469">
        <f t="shared" si="346"/>
        <v>337.04010903038989</v>
      </c>
      <c r="AP187">
        <f t="shared" si="347"/>
        <v>154.00000000000003</v>
      </c>
      <c r="AQ187">
        <f t="shared" si="348"/>
        <v>337.04010903038989</v>
      </c>
      <c r="AS187" s="5">
        <f t="shared" si="263"/>
        <v>2.9670059236476005</v>
      </c>
      <c r="AT187" s="5">
        <f t="shared" si="349"/>
        <v>1.7297398648351723</v>
      </c>
      <c r="AU187" s="5">
        <f t="shared" si="304"/>
        <v>1.2372660588124282</v>
      </c>
      <c r="AV187" s="5"/>
      <c r="AW187" s="177">
        <f t="shared" si="305"/>
        <v>0.58299171263825833</v>
      </c>
      <c r="AX187" s="177">
        <f t="shared" si="259"/>
        <v>2.4202176149254235</v>
      </c>
      <c r="AY187" s="177">
        <f t="shared" si="260"/>
        <v>0.17311580606789898</v>
      </c>
      <c r="AZ187" s="177">
        <f t="shared" si="264"/>
        <v>13.980338768004655</v>
      </c>
      <c r="BA187" s="469">
        <f t="shared" si="350"/>
        <v>8.6504050333139713</v>
      </c>
      <c r="BB187" s="469">
        <f t="shared" si="351"/>
        <v>3.2692728016666672</v>
      </c>
      <c r="BC187" s="5">
        <f t="shared" si="359"/>
        <v>0.17642497505288332</v>
      </c>
      <c r="BD187" s="469">
        <f t="shared" si="352"/>
        <v>28.912440452905777</v>
      </c>
      <c r="BF187" s="177">
        <f t="shared" si="265"/>
        <v>0.30500808332140256</v>
      </c>
      <c r="BG187" s="177">
        <f t="shared" si="261"/>
        <v>0.30955209499596381</v>
      </c>
      <c r="BI187" s="538">
        <f t="shared" si="306"/>
        <v>3.2560475811988475E-2</v>
      </c>
      <c r="BJ187" s="538">
        <f t="shared" si="307"/>
        <v>3.6826420503933498E-2</v>
      </c>
      <c r="BK187" s="538">
        <f t="shared" si="308"/>
        <v>4.2130013628798729E-3</v>
      </c>
      <c r="BL187" s="538">
        <f t="shared" si="309"/>
        <v>1.6810702129870129E-2</v>
      </c>
      <c r="BM187">
        <f t="shared" si="310"/>
        <v>3.48E-3</v>
      </c>
      <c r="BN187">
        <f t="shared" si="353"/>
        <v>5.8982019080318233E-6</v>
      </c>
      <c r="BO187" s="538">
        <f t="shared" si="354"/>
        <v>9.8886212045498356E-2</v>
      </c>
      <c r="BP187" s="469">
        <f t="shared" si="311"/>
        <v>93.890599808671965</v>
      </c>
      <c r="BQ187" s="538">
        <f t="shared" si="355"/>
        <v>9.5432194815261079E-2</v>
      </c>
      <c r="BT187" s="469">
        <f t="shared" si="312"/>
        <v>95.432194815261084</v>
      </c>
      <c r="BU187" s="538">
        <f t="shared" si="313"/>
        <v>9.3029930891395645E-3</v>
      </c>
      <c r="BV187" s="538">
        <f t="shared" si="314"/>
        <v>2.8746749854917058E-3</v>
      </c>
      <c r="BW187" s="538">
        <f t="shared" si="315"/>
        <v>0</v>
      </c>
      <c r="BX187" s="538"/>
      <c r="BY187" s="538">
        <f t="shared" si="316"/>
        <v>8.0673920497514109E-3</v>
      </c>
      <c r="BZ187" s="469">
        <f t="shared" si="317"/>
        <v>20.245060124382679</v>
      </c>
      <c r="CA187" s="177">
        <f t="shared" si="318"/>
        <v>0.20956785474831571</v>
      </c>
      <c r="CB187" s="5">
        <f t="shared" si="319"/>
        <v>2.4640000000000004</v>
      </c>
      <c r="CC187" s="177">
        <f t="shared" si="320"/>
        <v>0.92161491081061653</v>
      </c>
      <c r="CD187" s="5">
        <f t="shared" si="321"/>
        <v>92.161491081061655</v>
      </c>
      <c r="CG187" s="571">
        <f t="shared" si="356"/>
        <v>-50</v>
      </c>
      <c r="CH187">
        <f t="shared" si="357"/>
        <v>-50</v>
      </c>
    </row>
    <row r="188" spans="5:86" x14ac:dyDescent="0.25">
      <c r="E188" s="174">
        <v>78</v>
      </c>
      <c r="F188" s="221">
        <f t="shared" si="358"/>
        <v>0.15600000000000003</v>
      </c>
      <c r="G188" s="221"/>
      <c r="H188" s="221">
        <f t="shared" si="322"/>
        <v>2.4960000000000004</v>
      </c>
      <c r="I188" s="551">
        <f t="shared" si="323"/>
        <v>12</v>
      </c>
      <c r="J188" s="451">
        <f t="shared" si="324"/>
        <v>19.584</v>
      </c>
      <c r="K188" s="451">
        <f t="shared" si="325"/>
        <v>31.584</v>
      </c>
      <c r="L188" s="451"/>
      <c r="M188" s="221">
        <f t="shared" si="326"/>
        <v>0.62006079027355621</v>
      </c>
      <c r="N188" s="176">
        <f t="shared" si="327"/>
        <v>5.0626723404255323</v>
      </c>
      <c r="O188" s="176">
        <f t="shared" si="262"/>
        <v>2.4960000000000004</v>
      </c>
      <c r="P188" s="221">
        <f t="shared" si="328"/>
        <v>0.31641702127659577</v>
      </c>
      <c r="Q188" s="221">
        <f t="shared" si="329"/>
        <v>16</v>
      </c>
      <c r="R188" s="221"/>
      <c r="S188" s="176">
        <f t="shared" si="330"/>
        <v>41.998693624018358</v>
      </c>
      <c r="T188" s="546">
        <f t="shared" si="331"/>
        <v>16</v>
      </c>
      <c r="U188" s="221">
        <f t="shared" si="332"/>
        <v>0.74544662309368204</v>
      </c>
      <c r="V188" s="221">
        <f t="shared" si="333"/>
        <v>1.863616557734205</v>
      </c>
      <c r="W188" s="221">
        <f t="shared" si="334"/>
        <v>1.1419219103763512</v>
      </c>
      <c r="X188" s="201">
        <f t="shared" si="335"/>
        <v>350</v>
      </c>
      <c r="Y188" s="451">
        <f t="shared" si="303"/>
        <v>332.71908199153876</v>
      </c>
      <c r="AA188" s="221">
        <f t="shared" si="336"/>
        <v>0.70864090316977857</v>
      </c>
      <c r="AB188" s="177">
        <f t="shared" si="337"/>
        <v>1.0855405992184108</v>
      </c>
      <c r="AC188" s="177">
        <f t="shared" si="338"/>
        <v>0.16154427883809541</v>
      </c>
      <c r="AD188" s="177"/>
      <c r="AE188" s="177">
        <f t="shared" si="339"/>
        <v>0.4595588235294118</v>
      </c>
      <c r="AF188" s="555">
        <f t="shared" si="340"/>
        <v>1885.8666666666672</v>
      </c>
      <c r="AG188" s="538">
        <f t="shared" si="341"/>
        <v>2.8952205882352939E-2</v>
      </c>
      <c r="AI188" s="177">
        <f t="shared" si="342"/>
        <v>0.69637428359836995</v>
      </c>
      <c r="AJ188" s="177">
        <f t="shared" si="343"/>
        <v>0.69637428359836995</v>
      </c>
      <c r="AK188" s="177">
        <f t="shared" si="344"/>
        <v>1.4642495223989134</v>
      </c>
      <c r="AM188" s="555">
        <f t="shared" si="345"/>
        <v>156.00000000000003</v>
      </c>
      <c r="AN188" s="469">
        <f t="shared" si="346"/>
        <v>332.71908199153876</v>
      </c>
      <c r="AP188">
        <f t="shared" si="347"/>
        <v>156.00000000000003</v>
      </c>
      <c r="AQ188">
        <f t="shared" si="348"/>
        <v>332.71908199153876</v>
      </c>
      <c r="AS188" s="5">
        <f t="shared" si="263"/>
        <v>3.0055384681105561</v>
      </c>
      <c r="AT188" s="5">
        <f t="shared" si="349"/>
        <v>1.7409357089959252</v>
      </c>
      <c r="AU188" s="5">
        <f t="shared" si="304"/>
        <v>1.2646027591146309</v>
      </c>
      <c r="AV188" s="5"/>
      <c r="AW188" s="177">
        <f t="shared" si="305"/>
        <v>0.57924253090341293</v>
      </c>
      <c r="AX188" s="177">
        <f t="shared" si="259"/>
        <v>2.4202176149254244</v>
      </c>
      <c r="AY188" s="177">
        <f t="shared" si="260"/>
        <v>0.17580280866647946</v>
      </c>
      <c r="AZ188" s="177">
        <f t="shared" si="264"/>
        <v>13.766660688094515</v>
      </c>
      <c r="BA188" s="469">
        <f t="shared" si="350"/>
        <v>8.6504050333139713</v>
      </c>
      <c r="BB188" s="469">
        <f t="shared" si="351"/>
        <v>3.3486624600000003</v>
      </c>
      <c r="BC188" s="5">
        <f t="shared" si="359"/>
        <v>0.1826648429832245</v>
      </c>
      <c r="BD188" s="469">
        <f t="shared" si="352"/>
        <v>29.919708210649254</v>
      </c>
      <c r="BF188" s="177">
        <f t="shared" si="265"/>
        <v>0.30599358269830945</v>
      </c>
      <c r="BG188" s="177">
        <f t="shared" si="261"/>
        <v>0.31295310184077224</v>
      </c>
      <c r="BI188" s="538">
        <f t="shared" si="306"/>
        <v>3.2771225428391504E-2</v>
      </c>
      <c r="BJ188" s="538">
        <f t="shared" si="307"/>
        <v>3.6589592192106779E-2</v>
      </c>
      <c r="BK188" s="538">
        <f t="shared" si="308"/>
        <v>4.1589885248942346E-3</v>
      </c>
      <c r="BL188" s="538">
        <f t="shared" si="309"/>
        <v>1.6595180307692307E-2</v>
      </c>
      <c r="BM188">
        <f t="shared" si="310"/>
        <v>3.48E-3</v>
      </c>
      <c r="BN188">
        <f t="shared" si="353"/>
        <v>5.8225839348519283E-6</v>
      </c>
      <c r="BO188" s="538">
        <f t="shared" si="354"/>
        <v>9.8621217055974722E-2</v>
      </c>
      <c r="BP188" s="469">
        <f t="shared" si="311"/>
        <v>93.594986453084829</v>
      </c>
      <c r="BQ188" s="538">
        <f t="shared" si="355"/>
        <v>9.7004943989572628E-2</v>
      </c>
      <c r="BT188" s="469">
        <f t="shared" si="312"/>
        <v>97.004943989572624</v>
      </c>
      <c r="BU188" s="538">
        <f t="shared" si="313"/>
        <v>9.3632072652547159E-3</v>
      </c>
      <c r="BV188" s="538">
        <f t="shared" si="314"/>
        <v>2.9381893185528229E-3</v>
      </c>
      <c r="BW188" s="538">
        <f t="shared" si="315"/>
        <v>0</v>
      </c>
      <c r="BX188" s="538"/>
      <c r="BY188" s="538">
        <f t="shared" si="316"/>
        <v>8.0673920497514144E-3</v>
      </c>
      <c r="BZ188" s="469">
        <f t="shared" si="317"/>
        <v>20.368788633558953</v>
      </c>
      <c r="CA188" s="177">
        <f t="shared" si="318"/>
        <v>0.21096871907621639</v>
      </c>
      <c r="CB188" s="5">
        <f t="shared" si="319"/>
        <v>2.4960000000000004</v>
      </c>
      <c r="CC188" s="177">
        <f t="shared" si="320"/>
        <v>0.92206458922502366</v>
      </c>
      <c r="CD188" s="5">
        <f t="shared" si="321"/>
        <v>92.206458922502364</v>
      </c>
      <c r="CG188" s="571">
        <f t="shared" si="356"/>
        <v>-50</v>
      </c>
      <c r="CH188">
        <f t="shared" si="357"/>
        <v>-50</v>
      </c>
    </row>
    <row r="189" spans="5:86" x14ac:dyDescent="0.25">
      <c r="E189" s="174">
        <v>79</v>
      </c>
      <c r="F189" s="221">
        <f t="shared" si="358"/>
        <v>0.15800000000000003</v>
      </c>
      <c r="G189" s="221"/>
      <c r="H189" s="221">
        <f t="shared" si="322"/>
        <v>2.5280000000000005</v>
      </c>
      <c r="I189" s="551">
        <f t="shared" si="323"/>
        <v>12</v>
      </c>
      <c r="J189" s="451">
        <f t="shared" si="324"/>
        <v>19.584</v>
      </c>
      <c r="K189" s="451">
        <f t="shared" si="325"/>
        <v>31.584</v>
      </c>
      <c r="L189" s="451"/>
      <c r="M189" s="221">
        <f t="shared" si="326"/>
        <v>0.62006079027355621</v>
      </c>
      <c r="N189" s="176">
        <f t="shared" si="327"/>
        <v>5.0626723404255323</v>
      </c>
      <c r="O189" s="176">
        <f t="shared" si="262"/>
        <v>2.5280000000000005</v>
      </c>
      <c r="P189" s="221">
        <f t="shared" si="328"/>
        <v>0.31641702127659577</v>
      </c>
      <c r="Q189" s="221">
        <f t="shared" si="329"/>
        <v>16</v>
      </c>
      <c r="R189" s="221"/>
      <c r="S189" s="176">
        <f t="shared" si="330"/>
        <v>41.342630225499292</v>
      </c>
      <c r="T189" s="546">
        <f t="shared" si="331"/>
        <v>16</v>
      </c>
      <c r="U189" s="221">
        <f t="shared" si="332"/>
        <v>0.75500363108206259</v>
      </c>
      <c r="V189" s="221">
        <f t="shared" si="333"/>
        <v>1.8875090777051566</v>
      </c>
      <c r="W189" s="221">
        <f t="shared" si="334"/>
        <v>1.1565619348683558</v>
      </c>
      <c r="X189" s="201">
        <f t="shared" si="335"/>
        <v>350</v>
      </c>
      <c r="Y189" s="451">
        <f t="shared" si="303"/>
        <v>328.50744804227872</v>
      </c>
      <c r="AA189" s="221">
        <f t="shared" si="336"/>
        <v>0.70864090316977857</v>
      </c>
      <c r="AB189" s="177">
        <f t="shared" si="337"/>
        <v>1.0855405992184108</v>
      </c>
      <c r="AC189" s="177">
        <f t="shared" si="338"/>
        <v>0.16154427883809541</v>
      </c>
      <c r="AD189" s="177"/>
      <c r="AE189" s="177">
        <f t="shared" si="339"/>
        <v>0.4595588235294118</v>
      </c>
      <c r="AF189" s="555">
        <f t="shared" si="340"/>
        <v>1910.0444444444449</v>
      </c>
      <c r="AG189" s="538">
        <f t="shared" si="341"/>
        <v>2.8952205882352939E-2</v>
      </c>
      <c r="AI189" s="177">
        <f t="shared" si="342"/>
        <v>0.70082400480740226</v>
      </c>
      <c r="AJ189" s="177">
        <f t="shared" si="343"/>
        <v>0.70082400480740226</v>
      </c>
      <c r="AK189" s="177">
        <f t="shared" si="344"/>
        <v>1.4672160032049348</v>
      </c>
      <c r="AM189" s="555">
        <f t="shared" si="345"/>
        <v>158.00000000000003</v>
      </c>
      <c r="AN189" s="469">
        <f t="shared" si="346"/>
        <v>328.50744804227872</v>
      </c>
      <c r="AP189">
        <f t="shared" si="347"/>
        <v>158.00000000000003</v>
      </c>
      <c r="AQ189">
        <f t="shared" si="348"/>
        <v>328.50744804227872</v>
      </c>
      <c r="AS189" s="5">
        <f t="shared" si="263"/>
        <v>3.0440710125735126</v>
      </c>
      <c r="AT189" s="5">
        <f t="shared" si="349"/>
        <v>1.7520600120185057</v>
      </c>
      <c r="AU189" s="5">
        <f t="shared" si="304"/>
        <v>1.2920110005550069</v>
      </c>
      <c r="AV189" s="5"/>
      <c r="AW189" s="177">
        <f t="shared" si="305"/>
        <v>0.57556476336512352</v>
      </c>
      <c r="AX189" s="177">
        <f t="shared" si="259"/>
        <v>2.4202176149254235</v>
      </c>
      <c r="AY189" s="177">
        <f t="shared" si="260"/>
        <v>0.17847264139189895</v>
      </c>
      <c r="AZ189" s="177">
        <f t="shared" si="264"/>
        <v>13.560720545458794</v>
      </c>
      <c r="BA189" s="469">
        <f t="shared" si="350"/>
        <v>8.6504050333139713</v>
      </c>
      <c r="BB189" s="469">
        <f t="shared" si="351"/>
        <v>3.4289990816666678</v>
      </c>
      <c r="BC189" s="5">
        <f t="shared" si="359"/>
        <v>0.18901642415526956</v>
      </c>
      <c r="BD189" s="469">
        <f t="shared" si="352"/>
        <v>30.944850087065351</v>
      </c>
      <c r="BF189" s="177">
        <f t="shared" si="265"/>
        <v>0.30696965117793495</v>
      </c>
      <c r="BG189" s="177">
        <f t="shared" si="261"/>
        <v>0.31632630151642588</v>
      </c>
      <c r="BI189" s="538">
        <f t="shared" si="306"/>
        <v>3.2980628360506067E-2</v>
      </c>
      <c r="BJ189" s="538">
        <f t="shared" si="307"/>
        <v>3.6357274972248117E-2</v>
      </c>
      <c r="BK189" s="538">
        <f t="shared" si="308"/>
        <v>4.1063431005284841E-3</v>
      </c>
      <c r="BL189" s="538">
        <f t="shared" si="309"/>
        <v>1.6385114734177211E-2</v>
      </c>
      <c r="BM189">
        <f t="shared" si="310"/>
        <v>3.48E-3</v>
      </c>
      <c r="BN189">
        <f t="shared" si="353"/>
        <v>5.7488803407398777E-6</v>
      </c>
      <c r="BO189" s="538">
        <f t="shared" si="354"/>
        <v>9.8366044974412523E-2</v>
      </c>
      <c r="BP189" s="469">
        <f t="shared" si="311"/>
        <v>93.309361167459883</v>
      </c>
      <c r="BQ189" s="538">
        <f t="shared" si="355"/>
        <v>9.8579809689865239E-2</v>
      </c>
      <c r="BT189" s="469">
        <f t="shared" si="312"/>
        <v>98.579809689865243</v>
      </c>
      <c r="BU189" s="538">
        <f t="shared" si="313"/>
        <v>9.423036674430306E-3</v>
      </c>
      <c r="BV189" s="538">
        <f t="shared" si="314"/>
        <v>3.0018698709318231E-3</v>
      </c>
      <c r="BW189" s="538">
        <f t="shared" si="315"/>
        <v>0</v>
      </c>
      <c r="BX189" s="538"/>
      <c r="BY189" s="538">
        <f t="shared" si="316"/>
        <v>8.0673920497514127E-3</v>
      </c>
      <c r="BZ189" s="469">
        <f t="shared" si="317"/>
        <v>20.492298595113542</v>
      </c>
      <c r="CA189" s="177">
        <f t="shared" si="318"/>
        <v>0.21238146945243866</v>
      </c>
      <c r="CB189" s="5">
        <f t="shared" si="319"/>
        <v>2.5280000000000005</v>
      </c>
      <c r="CC189" s="177">
        <f t="shared" si="320"/>
        <v>0.92249930463335272</v>
      </c>
      <c r="CD189" s="5">
        <f t="shared" si="321"/>
        <v>92.249930463335275</v>
      </c>
      <c r="CG189" s="571">
        <f t="shared" si="356"/>
        <v>-50</v>
      </c>
      <c r="CH189">
        <f t="shared" si="357"/>
        <v>-50</v>
      </c>
    </row>
    <row r="190" spans="5:86" x14ac:dyDescent="0.25">
      <c r="E190" s="174">
        <v>80</v>
      </c>
      <c r="F190" s="221">
        <f t="shared" si="358"/>
        <v>0.16000000000000003</v>
      </c>
      <c r="G190" s="221"/>
      <c r="H190" s="221">
        <f t="shared" si="322"/>
        <v>2.5600000000000005</v>
      </c>
      <c r="I190" s="551">
        <f t="shared" si="323"/>
        <v>12</v>
      </c>
      <c r="J190" s="451">
        <f t="shared" si="324"/>
        <v>19.584</v>
      </c>
      <c r="K190" s="451">
        <f t="shared" si="325"/>
        <v>31.584</v>
      </c>
      <c r="L190" s="451"/>
      <c r="M190" s="221">
        <f t="shared" si="326"/>
        <v>0.62006079027355621</v>
      </c>
      <c r="N190" s="176">
        <f t="shared" si="327"/>
        <v>5.0626723404255323</v>
      </c>
      <c r="O190" s="176">
        <f t="shared" si="262"/>
        <v>2.5600000000000005</v>
      </c>
      <c r="P190" s="221">
        <f t="shared" si="328"/>
        <v>0.31641702127659577</v>
      </c>
      <c r="Q190" s="221">
        <f t="shared" si="329"/>
        <v>16</v>
      </c>
      <c r="R190" s="221"/>
      <c r="S190" s="176">
        <f t="shared" si="330"/>
        <v>40.70300501204288</v>
      </c>
      <c r="T190" s="546">
        <f t="shared" si="331"/>
        <v>16</v>
      </c>
      <c r="U190" s="221">
        <f t="shared" si="332"/>
        <v>0.76456063907044303</v>
      </c>
      <c r="V190" s="221">
        <f t="shared" si="333"/>
        <v>1.9114015976761078</v>
      </c>
      <c r="W190" s="221">
        <f t="shared" si="334"/>
        <v>1.1712019593603602</v>
      </c>
      <c r="X190" s="201">
        <f t="shared" si="335"/>
        <v>350</v>
      </c>
      <c r="Y190" s="451">
        <f t="shared" si="303"/>
        <v>324.4011049417503</v>
      </c>
      <c r="AA190" s="221">
        <f t="shared" si="336"/>
        <v>0.70864090316977857</v>
      </c>
      <c r="AB190" s="177">
        <f t="shared" si="337"/>
        <v>1.0855405992184108</v>
      </c>
      <c r="AC190" s="177">
        <f t="shared" si="338"/>
        <v>0.16154427883809541</v>
      </c>
      <c r="AD190" s="177"/>
      <c r="AE190" s="177">
        <f t="shared" si="339"/>
        <v>0.4595588235294118</v>
      </c>
      <c r="AF190" s="555">
        <f t="shared" si="340"/>
        <v>1934.2222222222226</v>
      </c>
      <c r="AG190" s="538">
        <f t="shared" si="341"/>
        <v>2.8952205882352939E-2</v>
      </c>
      <c r="AI190" s="177">
        <f t="shared" si="342"/>
        <v>0.70524565122475491</v>
      </c>
      <c r="AJ190" s="177">
        <f t="shared" si="343"/>
        <v>0.70524565122475491</v>
      </c>
      <c r="AK190" s="177">
        <f t="shared" si="344"/>
        <v>1.47016376748317</v>
      </c>
      <c r="AM190" s="555">
        <f t="shared" si="345"/>
        <v>160.00000000000003</v>
      </c>
      <c r="AN190" s="469">
        <f t="shared" si="346"/>
        <v>324.4011049417503</v>
      </c>
      <c r="AP190">
        <f t="shared" si="347"/>
        <v>160.00000000000003</v>
      </c>
      <c r="AQ190">
        <f t="shared" si="348"/>
        <v>324.4011049417503</v>
      </c>
      <c r="AS190" s="5">
        <f t="shared" si="263"/>
        <v>3.0826035570364678</v>
      </c>
      <c r="AT190" s="5">
        <f t="shared" si="349"/>
        <v>1.7631141280618874</v>
      </c>
      <c r="AU190" s="5">
        <f t="shared" si="304"/>
        <v>1.3194894289745804</v>
      </c>
      <c r="AV190" s="5"/>
      <c r="AW190" s="177">
        <f t="shared" si="305"/>
        <v>0.57195617128168696</v>
      </c>
      <c r="AX190" s="177">
        <f t="shared" si="259"/>
        <v>2.4202176149254244</v>
      </c>
      <c r="AY190" s="177">
        <f t="shared" si="260"/>
        <v>0.18112562924231046</v>
      </c>
      <c r="AZ190" s="177">
        <f t="shared" si="264"/>
        <v>13.362093620045616</v>
      </c>
      <c r="BA190" s="469">
        <f t="shared" si="350"/>
        <v>8.6504050333139713</v>
      </c>
      <c r="BB190" s="469">
        <f t="shared" si="351"/>
        <v>3.5102826666666678</v>
      </c>
      <c r="BC190" s="5">
        <f t="shared" si="359"/>
        <v>0.19547991540364157</v>
      </c>
      <c r="BD190" s="469">
        <f t="shared" si="352"/>
        <v>31.987897575693765</v>
      </c>
      <c r="BF190" s="177">
        <f t="shared" si="265"/>
        <v>0.30793649669513434</v>
      </c>
      <c r="BG190" s="177">
        <f t="shared" si="261"/>
        <v>0.31967241025585774</v>
      </c>
      <c r="BI190" s="538">
        <f t="shared" si="306"/>
        <v>3.3188710098905366E-2</v>
      </c>
      <c r="BJ190" s="538">
        <f t="shared" si="307"/>
        <v>3.6129327427521597E-2</v>
      </c>
      <c r="BK190" s="538">
        <f t="shared" si="308"/>
        <v>4.0550138117718786E-3</v>
      </c>
      <c r="BL190" s="538">
        <f t="shared" si="309"/>
        <v>1.6180300799999998E-2</v>
      </c>
      <c r="BM190">
        <f t="shared" si="310"/>
        <v>3.48E-3</v>
      </c>
      <c r="BN190">
        <f t="shared" si="353"/>
        <v>5.6770193364806309E-6</v>
      </c>
      <c r="BO190" s="538">
        <f t="shared" si="354"/>
        <v>9.8120326887865483E-2</v>
      </c>
      <c r="BP190" s="469">
        <f t="shared" si="311"/>
        <v>93.033352138198836</v>
      </c>
      <c r="BQ190" s="538">
        <f t="shared" si="355"/>
        <v>0.10015675185369759</v>
      </c>
      <c r="BT190" s="469">
        <f t="shared" si="312"/>
        <v>100.15675185369759</v>
      </c>
      <c r="BU190" s="538">
        <f t="shared" si="313"/>
        <v>9.4824885996872485E-3</v>
      </c>
      <c r="BV190" s="538">
        <f t="shared" si="314"/>
        <v>3.0657134963636827E-3</v>
      </c>
      <c r="BW190" s="538">
        <f t="shared" si="315"/>
        <v>0</v>
      </c>
      <c r="BX190" s="538"/>
      <c r="BY190" s="538">
        <f t="shared" si="316"/>
        <v>8.0673920497514144E-3</v>
      </c>
      <c r="BZ190" s="469">
        <f t="shared" si="317"/>
        <v>20.615594145802344</v>
      </c>
      <c r="CA190" s="177">
        <f t="shared" si="318"/>
        <v>0.21380569813769876</v>
      </c>
      <c r="CB190" s="5">
        <f t="shared" si="319"/>
        <v>2.5600000000000005</v>
      </c>
      <c r="CC190" s="177">
        <f t="shared" si="320"/>
        <v>0.92291972783773379</v>
      </c>
      <c r="CD190" s="5">
        <f t="shared" si="321"/>
        <v>92.291972783773375</v>
      </c>
      <c r="CG190" s="571">
        <f t="shared" si="356"/>
        <v>-50</v>
      </c>
      <c r="CH190">
        <f t="shared" si="357"/>
        <v>-50</v>
      </c>
    </row>
    <row r="191" spans="5:86" x14ac:dyDescent="0.25">
      <c r="E191" s="174">
        <v>81</v>
      </c>
      <c r="F191" s="221">
        <f t="shared" si="358"/>
        <v>0.16200000000000003</v>
      </c>
      <c r="G191" s="221"/>
      <c r="H191" s="221">
        <f t="shared" si="322"/>
        <v>2.5920000000000005</v>
      </c>
      <c r="I191" s="551">
        <f t="shared" si="323"/>
        <v>12</v>
      </c>
      <c r="J191" s="451">
        <f t="shared" si="324"/>
        <v>19.584</v>
      </c>
      <c r="K191" s="451">
        <f t="shared" si="325"/>
        <v>31.584</v>
      </c>
      <c r="L191" s="451"/>
      <c r="M191" s="221">
        <f t="shared" si="326"/>
        <v>0.62006079027355621</v>
      </c>
      <c r="N191" s="176">
        <f t="shared" si="327"/>
        <v>5.0626723404255323</v>
      </c>
      <c r="O191" s="176">
        <f t="shared" si="262"/>
        <v>2.5920000000000005</v>
      </c>
      <c r="P191" s="221">
        <f t="shared" si="328"/>
        <v>0.31641702127659577</v>
      </c>
      <c r="Q191" s="221">
        <f t="shared" si="329"/>
        <v>16</v>
      </c>
      <c r="R191" s="221"/>
      <c r="S191" s="176">
        <f t="shared" si="330"/>
        <v>40.079209470727847</v>
      </c>
      <c r="T191" s="546">
        <f t="shared" si="331"/>
        <v>16</v>
      </c>
      <c r="U191" s="221">
        <f t="shared" si="332"/>
        <v>0.77411764705882358</v>
      </c>
      <c r="V191" s="221">
        <f t="shared" si="333"/>
        <v>1.9352941176470591</v>
      </c>
      <c r="W191" s="221">
        <f t="shared" si="334"/>
        <v>1.1858419838523646</v>
      </c>
      <c r="X191" s="201">
        <f t="shared" si="335"/>
        <v>350</v>
      </c>
      <c r="Y191" s="451">
        <f t="shared" si="303"/>
        <v>320.39615302888916</v>
      </c>
      <c r="AA191" s="221">
        <f t="shared" si="336"/>
        <v>0.70864090316977857</v>
      </c>
      <c r="AB191" s="177">
        <f t="shared" si="337"/>
        <v>1.0855405992184108</v>
      </c>
      <c r="AC191" s="177">
        <f t="shared" si="338"/>
        <v>0.16154427883809541</v>
      </c>
      <c r="AD191" s="177"/>
      <c r="AE191" s="177">
        <f t="shared" si="339"/>
        <v>0.4595588235294118</v>
      </c>
      <c r="AF191" s="555">
        <f t="shared" si="340"/>
        <v>1958.4000000000005</v>
      </c>
      <c r="AG191" s="538">
        <f t="shared" si="341"/>
        <v>2.8952205882352939E-2</v>
      </c>
      <c r="AI191" s="177">
        <f t="shared" si="342"/>
        <v>0.70963974763859694</v>
      </c>
      <c r="AJ191" s="177">
        <f t="shared" si="343"/>
        <v>0.77411764705882358</v>
      </c>
      <c r="AK191" s="177">
        <f t="shared" si="344"/>
        <v>1.5160784313725491</v>
      </c>
      <c r="AM191" s="555">
        <f t="shared" si="345"/>
        <v>162.00000000000003</v>
      </c>
      <c r="AN191" s="469">
        <f t="shared" si="346"/>
        <v>320.39615302888916</v>
      </c>
      <c r="AP191">
        <f t="shared" si="347"/>
        <v>162.00000000000003</v>
      </c>
      <c r="AQ191">
        <f t="shared" si="348"/>
        <v>320.39615302888916</v>
      </c>
      <c r="AS191" s="5">
        <f t="shared" si="263"/>
        <v>3.1211361014994239</v>
      </c>
      <c r="AT191" s="5">
        <f t="shared" si="349"/>
        <v>1.9352941176470591</v>
      </c>
      <c r="AU191" s="5">
        <f t="shared" si="304"/>
        <v>1.1858419838523648</v>
      </c>
      <c r="AV191" s="5"/>
      <c r="AW191" s="177">
        <f t="shared" si="305"/>
        <v>0.62006079027355621</v>
      </c>
      <c r="AX191" s="177">
        <f t="shared" si="259"/>
        <v>2.8799999999999994</v>
      </c>
      <c r="AY191" s="177">
        <f t="shared" si="260"/>
        <v>0.17647058823529413</v>
      </c>
      <c r="AZ191" s="177">
        <f t="shared" si="264"/>
        <v>16.319999999999997</v>
      </c>
      <c r="BA191" s="469">
        <f t="shared" si="350"/>
        <v>8.6504050333139713</v>
      </c>
      <c r="BB191" s="469">
        <f t="shared" si="351"/>
        <v>3.5925132150000012</v>
      </c>
      <c r="BC191" s="5">
        <f t="shared" si="359"/>
        <v>0.17787629757785473</v>
      </c>
      <c r="BD191" s="469">
        <f t="shared" si="352"/>
        <v>29.180207612456758</v>
      </c>
      <c r="BF191" s="177">
        <f t="shared" si="265"/>
        <v>0.35193582302660209</v>
      </c>
      <c r="BG191" s="177">
        <f t="shared" si="261"/>
        <v>0.33058614192345376</v>
      </c>
      <c r="BI191" s="538">
        <f t="shared" si="306"/>
        <v>4.335058823529412E-2</v>
      </c>
      <c r="BJ191" s="538">
        <f t="shared" si="307"/>
        <v>3.9167999999999994E-2</v>
      </c>
      <c r="BK191" s="538">
        <f t="shared" si="308"/>
        <v>4.0049519128611145E-3</v>
      </c>
      <c r="BL191" s="538">
        <f t="shared" si="309"/>
        <v>1.5980543999999996E-2</v>
      </c>
      <c r="BM191">
        <f t="shared" si="310"/>
        <v>3.48E-3</v>
      </c>
      <c r="BN191">
        <f t="shared" si="353"/>
        <v>5.6069326780055606E-6</v>
      </c>
      <c r="BO191" s="538">
        <f t="shared" si="354"/>
        <v>0.11274376582345093</v>
      </c>
      <c r="BP191" s="469">
        <f t="shared" si="311"/>
        <v>105.98408414815523</v>
      </c>
      <c r="BQ191" s="538">
        <f t="shared" si="355"/>
        <v>0.10363170934256058</v>
      </c>
      <c r="BT191" s="469">
        <f t="shared" si="312"/>
        <v>103.63170934256058</v>
      </c>
      <c r="BU191" s="538">
        <f t="shared" si="313"/>
        <v>1.2385882352941179E-2</v>
      </c>
      <c r="BV191" s="538">
        <f t="shared" si="314"/>
        <v>3.2786159169550175E-3</v>
      </c>
      <c r="BW191" s="538">
        <f t="shared" si="315"/>
        <v>0</v>
      </c>
      <c r="BX191" s="538"/>
      <c r="BY191" s="538">
        <f t="shared" si="316"/>
        <v>9.5999999999999992E-3</v>
      </c>
      <c r="BZ191" s="469">
        <f t="shared" si="317"/>
        <v>25.26449826989619</v>
      </c>
      <c r="CA191" s="177">
        <f t="shared" si="318"/>
        <v>0.23488029176061201</v>
      </c>
      <c r="CB191" s="5">
        <f t="shared" si="319"/>
        <v>2.5920000000000005</v>
      </c>
      <c r="CC191" s="177">
        <f t="shared" si="320"/>
        <v>0.91691183654107755</v>
      </c>
      <c r="CD191" s="5">
        <f t="shared" si="321"/>
        <v>91.691183654107761</v>
      </c>
      <c r="CG191" s="571">
        <f t="shared" si="356"/>
        <v>-50</v>
      </c>
      <c r="CH191">
        <f t="shared" si="357"/>
        <v>-50</v>
      </c>
    </row>
    <row r="192" spans="5:86" x14ac:dyDescent="0.25">
      <c r="E192" s="174">
        <v>82</v>
      </c>
      <c r="F192" s="221">
        <f t="shared" si="358"/>
        <v>0.16400000000000001</v>
      </c>
      <c r="G192" s="221"/>
      <c r="H192" s="221">
        <f t="shared" si="322"/>
        <v>2.6240000000000001</v>
      </c>
      <c r="I192" s="551">
        <f t="shared" si="323"/>
        <v>12</v>
      </c>
      <c r="J192" s="451">
        <f t="shared" si="324"/>
        <v>19.584</v>
      </c>
      <c r="K192" s="451">
        <f t="shared" si="325"/>
        <v>31.584</v>
      </c>
      <c r="L192" s="451"/>
      <c r="M192" s="221">
        <f t="shared" si="326"/>
        <v>0.62006079027355621</v>
      </c>
      <c r="N192" s="176">
        <f t="shared" si="327"/>
        <v>5.0626723404255323</v>
      </c>
      <c r="O192" s="176">
        <f t="shared" si="262"/>
        <v>2.6240000000000001</v>
      </c>
      <c r="P192" s="221">
        <f t="shared" si="328"/>
        <v>0.31641702127659577</v>
      </c>
      <c r="Q192" s="221">
        <f t="shared" si="329"/>
        <v>16</v>
      </c>
      <c r="R192" s="221"/>
      <c r="S192" s="176">
        <f t="shared" si="330"/>
        <v>39.470664775476862</v>
      </c>
      <c r="T192" s="546">
        <f t="shared" si="331"/>
        <v>16</v>
      </c>
      <c r="U192" s="221">
        <f t="shared" si="332"/>
        <v>0.78367465504720402</v>
      </c>
      <c r="V192" s="221">
        <f t="shared" si="333"/>
        <v>1.95918663761801</v>
      </c>
      <c r="W192" s="221">
        <f t="shared" si="334"/>
        <v>1.2004820083443688</v>
      </c>
      <c r="X192" s="201">
        <f t="shared" si="335"/>
        <v>350</v>
      </c>
      <c r="Y192" s="451">
        <f t="shared" si="303"/>
        <v>316.4888828700004</v>
      </c>
      <c r="AA192" s="221">
        <f t="shared" si="336"/>
        <v>0.70864090316977857</v>
      </c>
      <c r="AB192" s="177">
        <f t="shared" si="337"/>
        <v>1.0855405992184108</v>
      </c>
      <c r="AC192" s="177">
        <f t="shared" si="338"/>
        <v>0.16154427883809541</v>
      </c>
      <c r="AD192" s="177"/>
      <c r="AE192" s="177">
        <f t="shared" si="339"/>
        <v>0.4595588235294118</v>
      </c>
      <c r="AF192" s="555">
        <f t="shared" si="340"/>
        <v>1982.577777777778</v>
      </c>
      <c r="AG192" s="538">
        <f t="shared" si="341"/>
        <v>2.8952205882352939E-2</v>
      </c>
      <c r="AI192" s="177">
        <f t="shared" si="342"/>
        <v>0.71400680268868189</v>
      </c>
      <c r="AJ192" s="177">
        <f t="shared" si="343"/>
        <v>0.78367465504720402</v>
      </c>
      <c r="AK192" s="177">
        <f t="shared" si="344"/>
        <v>1.5224497700314694</v>
      </c>
      <c r="AM192" s="555">
        <f t="shared" si="345"/>
        <v>164</v>
      </c>
      <c r="AN192" s="469">
        <f t="shared" si="346"/>
        <v>316.4888828700004</v>
      </c>
      <c r="AP192">
        <f t="shared" si="347"/>
        <v>164</v>
      </c>
      <c r="AQ192">
        <f t="shared" si="348"/>
        <v>316.4888828700004</v>
      </c>
      <c r="AS192" s="5">
        <f t="shared" si="263"/>
        <v>3.1596686459623786</v>
      </c>
      <c r="AT192" s="5">
        <f t="shared" si="349"/>
        <v>1.95918663761801</v>
      </c>
      <c r="AU192" s="5">
        <f t="shared" si="304"/>
        <v>1.2004820083443686</v>
      </c>
      <c r="AV192" s="5"/>
      <c r="AW192" s="177">
        <f t="shared" si="305"/>
        <v>0.62006079027355632</v>
      </c>
      <c r="AX192" s="177">
        <f t="shared" si="259"/>
        <v>2.9155555555555552</v>
      </c>
      <c r="AY192" s="177">
        <f t="shared" si="260"/>
        <v>0.17864923747276684</v>
      </c>
      <c r="AZ192" s="177">
        <f t="shared" si="264"/>
        <v>16.320000000000004</v>
      </c>
      <c r="BA192" s="469">
        <f t="shared" si="350"/>
        <v>8.6504050333139713</v>
      </c>
      <c r="BB192" s="469">
        <f t="shared" si="351"/>
        <v>3.6756907266666663</v>
      </c>
      <c r="BC192" s="5">
        <f t="shared" si="359"/>
        <v>0.18229541608192262</v>
      </c>
      <c r="BD192" s="469">
        <f t="shared" si="352"/>
        <v>29.896155461996511</v>
      </c>
      <c r="BF192" s="177">
        <f t="shared" si="265"/>
        <v>0.35628070973063419</v>
      </c>
      <c r="BG192" s="177">
        <f t="shared" si="261"/>
        <v>0.33466745231757045</v>
      </c>
      <c r="BI192" s="538">
        <f t="shared" si="306"/>
        <v>4.4427580444157538E-2</v>
      </c>
      <c r="BJ192" s="538">
        <f t="shared" si="307"/>
        <v>3.9168000000000001E-2</v>
      </c>
      <c r="BK192" s="538">
        <f t="shared" si="308"/>
        <v>3.9561110358750052E-3</v>
      </c>
      <c r="BL192" s="538">
        <f t="shared" si="309"/>
        <v>1.5785659317073174E-2</v>
      </c>
      <c r="BM192">
        <f t="shared" si="310"/>
        <v>3.48E-3</v>
      </c>
      <c r="BN192">
        <f t="shared" si="353"/>
        <v>5.5385554502250073E-6</v>
      </c>
      <c r="BO192" s="538">
        <f t="shared" si="354"/>
        <v>0.11375303365639468</v>
      </c>
      <c r="BP192" s="469">
        <f t="shared" si="311"/>
        <v>106.81735079710573</v>
      </c>
      <c r="BQ192" s="538">
        <f t="shared" si="355"/>
        <v>0.10543287999076012</v>
      </c>
      <c r="BT192" s="469">
        <f t="shared" si="312"/>
        <v>105.43287999076011</v>
      </c>
      <c r="BU192" s="538">
        <f t="shared" si="313"/>
        <v>1.2693594412616442E-2</v>
      </c>
      <c r="BV192" s="538">
        <f t="shared" si="314"/>
        <v>3.3600691092219984E-3</v>
      </c>
      <c r="BW192" s="538">
        <f t="shared" si="315"/>
        <v>0</v>
      </c>
      <c r="BX192" s="538"/>
      <c r="BY192" s="538">
        <f t="shared" si="316"/>
        <v>9.7185185185185187E-3</v>
      </c>
      <c r="BZ192" s="469">
        <f t="shared" si="317"/>
        <v>25.772182040356959</v>
      </c>
      <c r="CA192" s="177">
        <f t="shared" si="318"/>
        <v>0.23802241282822281</v>
      </c>
      <c r="CB192" s="5">
        <f t="shared" si="319"/>
        <v>2.6240000000000001</v>
      </c>
      <c r="CC192" s="177">
        <f t="shared" si="320"/>
        <v>0.91683418978085107</v>
      </c>
      <c r="CD192" s="5">
        <f t="shared" si="321"/>
        <v>91.683418978085101</v>
      </c>
      <c r="CG192" s="571">
        <f t="shared" si="356"/>
        <v>-50</v>
      </c>
      <c r="CH192">
        <f t="shared" si="357"/>
        <v>-50</v>
      </c>
    </row>
    <row r="193" spans="5:86" x14ac:dyDescent="0.25">
      <c r="E193" s="174">
        <v>83</v>
      </c>
      <c r="F193" s="221">
        <f t="shared" si="358"/>
        <v>0.16600000000000001</v>
      </c>
      <c r="G193" s="221"/>
      <c r="H193" s="221">
        <f t="shared" si="322"/>
        <v>2.6560000000000001</v>
      </c>
      <c r="I193" s="551">
        <f t="shared" si="323"/>
        <v>12</v>
      </c>
      <c r="J193" s="451">
        <f t="shared" si="324"/>
        <v>19.584</v>
      </c>
      <c r="K193" s="451">
        <f t="shared" si="325"/>
        <v>31.584</v>
      </c>
      <c r="L193" s="451"/>
      <c r="M193" s="221">
        <f t="shared" si="326"/>
        <v>0.62006079027355621</v>
      </c>
      <c r="N193" s="176">
        <f t="shared" si="327"/>
        <v>5.0626723404255323</v>
      </c>
      <c r="O193" s="176">
        <f t="shared" si="262"/>
        <v>2.6560000000000001</v>
      </c>
      <c r="P193" s="221">
        <f t="shared" si="328"/>
        <v>0.31641702127659577</v>
      </c>
      <c r="Q193" s="221">
        <f t="shared" si="329"/>
        <v>16</v>
      </c>
      <c r="R193" s="221"/>
      <c r="S193" s="176">
        <f t="shared" si="330"/>
        <v>38.876819998733417</v>
      </c>
      <c r="T193" s="546">
        <f t="shared" si="331"/>
        <v>16</v>
      </c>
      <c r="U193" s="221">
        <f t="shared" si="332"/>
        <v>0.79323166303558457</v>
      </c>
      <c r="V193" s="221">
        <f t="shared" si="333"/>
        <v>1.9830791575889612</v>
      </c>
      <c r="W193" s="221">
        <f t="shared" si="334"/>
        <v>1.2151220328363734</v>
      </c>
      <c r="X193" s="201">
        <f t="shared" si="335"/>
        <v>350</v>
      </c>
      <c r="Y193" s="451">
        <f t="shared" si="303"/>
        <v>312.67576379927749</v>
      </c>
      <c r="AA193" s="221">
        <f t="shared" si="336"/>
        <v>0.70864090316977857</v>
      </c>
      <c r="AB193" s="177">
        <f t="shared" si="337"/>
        <v>1.0855405992184108</v>
      </c>
      <c r="AC193" s="177">
        <f t="shared" si="338"/>
        <v>0.16154427883809541</v>
      </c>
      <c r="AD193" s="177"/>
      <c r="AE193" s="177">
        <f t="shared" si="339"/>
        <v>0.4595588235294118</v>
      </c>
      <c r="AF193" s="555">
        <f t="shared" si="340"/>
        <v>2006.7555555555557</v>
      </c>
      <c r="AG193" s="538">
        <f t="shared" si="341"/>
        <v>2.8952205882352939E-2</v>
      </c>
      <c r="AI193" s="177">
        <f t="shared" si="342"/>
        <v>0.71834730955357318</v>
      </c>
      <c r="AJ193" s="177">
        <f t="shared" si="343"/>
        <v>0.79323166303558457</v>
      </c>
      <c r="AK193" s="177">
        <f t="shared" si="344"/>
        <v>1.5288211086903898</v>
      </c>
      <c r="AM193" s="555">
        <f t="shared" si="345"/>
        <v>166</v>
      </c>
      <c r="AN193" s="469">
        <f t="shared" si="346"/>
        <v>312.67576379927749</v>
      </c>
      <c r="AP193">
        <f t="shared" si="347"/>
        <v>166</v>
      </c>
      <c r="AQ193">
        <f t="shared" si="348"/>
        <v>312.67576379927749</v>
      </c>
      <c r="AS193" s="5">
        <f t="shared" si="263"/>
        <v>3.1982011904253347</v>
      </c>
      <c r="AT193" s="5">
        <f t="shared" si="349"/>
        <v>1.9830791575889612</v>
      </c>
      <c r="AU193" s="5">
        <f t="shared" si="304"/>
        <v>1.2151220328363734</v>
      </c>
      <c r="AV193" s="5"/>
      <c r="AW193" s="177">
        <f t="shared" si="305"/>
        <v>0.62006079027355621</v>
      </c>
      <c r="AX193" s="177">
        <f t="shared" si="259"/>
        <v>2.9511111111111115</v>
      </c>
      <c r="AY193" s="177">
        <f t="shared" si="260"/>
        <v>0.18082788671023967</v>
      </c>
      <c r="AZ193" s="177">
        <f t="shared" si="264"/>
        <v>16.32</v>
      </c>
      <c r="BA193" s="469">
        <f t="shared" si="350"/>
        <v>8.6504050333139713</v>
      </c>
      <c r="BB193" s="469">
        <f t="shared" si="351"/>
        <v>3.7598152016666662</v>
      </c>
      <c r="BC193" s="5">
        <f t="shared" si="359"/>
        <v>0.18676875689892405</v>
      </c>
      <c r="BD193" s="469">
        <f t="shared" si="352"/>
        <v>30.620778881605627</v>
      </c>
      <c r="BF193" s="177">
        <f t="shared" si="265"/>
        <v>0.3606255964346663</v>
      </c>
      <c r="BG193" s="177">
        <f t="shared" si="261"/>
        <v>0.33874876271168713</v>
      </c>
      <c r="BI193" s="538">
        <f t="shared" si="306"/>
        <v>4.5517787281350579E-2</v>
      </c>
      <c r="BJ193" s="538">
        <f t="shared" si="307"/>
        <v>3.9168000000000001E-2</v>
      </c>
      <c r="BK193" s="538">
        <f t="shared" si="308"/>
        <v>3.9084470474909684E-3</v>
      </c>
      <c r="BL193" s="538">
        <f t="shared" si="309"/>
        <v>1.5595470650602414E-2</v>
      </c>
      <c r="BM193">
        <f t="shared" si="310"/>
        <v>3.48E-3</v>
      </c>
      <c r="BN193">
        <f t="shared" si="353"/>
        <v>5.4718258664873568E-6</v>
      </c>
      <c r="BO193" s="538">
        <f t="shared" si="354"/>
        <v>0.11478403808491441</v>
      </c>
      <c r="BP193" s="469">
        <f t="shared" si="311"/>
        <v>107.66970497944396</v>
      </c>
      <c r="BQ193" s="538">
        <f t="shared" si="355"/>
        <v>0.10724677665918299</v>
      </c>
      <c r="BT193" s="469">
        <f t="shared" si="312"/>
        <v>107.24677665918298</v>
      </c>
      <c r="BU193" s="538">
        <f t="shared" si="313"/>
        <v>1.300508208038588E-2</v>
      </c>
      <c r="BV193" s="538">
        <f t="shared" si="314"/>
        <v>3.4425217271609673E-3</v>
      </c>
      <c r="BW193" s="538">
        <f t="shared" si="315"/>
        <v>0</v>
      </c>
      <c r="BX193" s="538"/>
      <c r="BY193" s="538">
        <f t="shared" si="316"/>
        <v>9.8370370370370382E-3</v>
      </c>
      <c r="BZ193" s="469">
        <f t="shared" si="317"/>
        <v>26.284640844583887</v>
      </c>
      <c r="CA193" s="177">
        <f t="shared" si="318"/>
        <v>0.24120112248321085</v>
      </c>
      <c r="CB193" s="5">
        <f t="shared" si="319"/>
        <v>2.6560000000000001</v>
      </c>
      <c r="CC193" s="177">
        <f t="shared" si="320"/>
        <v>0.91674684901527448</v>
      </c>
      <c r="CD193" s="5">
        <f t="shared" si="321"/>
        <v>91.674684901527442</v>
      </c>
      <c r="CG193" s="571">
        <f t="shared" si="356"/>
        <v>-50</v>
      </c>
      <c r="CH193">
        <f t="shared" si="357"/>
        <v>-50</v>
      </c>
    </row>
    <row r="194" spans="5:86" x14ac:dyDescent="0.25">
      <c r="E194" s="174">
        <v>84</v>
      </c>
      <c r="F194" s="221">
        <f t="shared" si="358"/>
        <v>0.16800000000000001</v>
      </c>
      <c r="G194" s="221"/>
      <c r="H194" s="221">
        <f t="shared" si="322"/>
        <v>2.6880000000000002</v>
      </c>
      <c r="I194" s="551">
        <f t="shared" si="323"/>
        <v>12</v>
      </c>
      <c r="J194" s="451">
        <f t="shared" si="324"/>
        <v>19.584</v>
      </c>
      <c r="K194" s="451">
        <f t="shared" si="325"/>
        <v>31.584</v>
      </c>
      <c r="L194" s="451"/>
      <c r="M194" s="221">
        <f t="shared" si="326"/>
        <v>0.62006079027355621</v>
      </c>
      <c r="N194" s="176">
        <f t="shared" si="327"/>
        <v>5.0626723404255323</v>
      </c>
      <c r="O194" s="176">
        <f t="shared" si="262"/>
        <v>2.6880000000000002</v>
      </c>
      <c r="P194" s="221">
        <f t="shared" si="328"/>
        <v>0.31641702127659577</v>
      </c>
      <c r="Q194" s="221">
        <f t="shared" si="329"/>
        <v>16</v>
      </c>
      <c r="R194" s="221"/>
      <c r="S194" s="176">
        <f t="shared" si="330"/>
        <v>38.297150450876529</v>
      </c>
      <c r="T194" s="546">
        <f t="shared" si="331"/>
        <v>16</v>
      </c>
      <c r="U194" s="221">
        <f t="shared" si="332"/>
        <v>0.80278867102396512</v>
      </c>
      <c r="V194" s="221">
        <f t="shared" si="333"/>
        <v>2.0069716775599131</v>
      </c>
      <c r="W194" s="221">
        <f t="shared" si="334"/>
        <v>1.2297620573283778</v>
      </c>
      <c r="X194" s="201">
        <f t="shared" si="335"/>
        <v>350</v>
      </c>
      <c r="Y194" s="451">
        <f t="shared" si="303"/>
        <v>308.95343327785753</v>
      </c>
      <c r="AA194" s="221">
        <f t="shared" si="336"/>
        <v>0.70864090316977857</v>
      </c>
      <c r="AB194" s="177">
        <f t="shared" si="337"/>
        <v>1.0855405992184108</v>
      </c>
      <c r="AC194" s="177">
        <f t="shared" si="338"/>
        <v>0.16154427883809541</v>
      </c>
      <c r="AD194" s="177"/>
      <c r="AE194" s="177">
        <f t="shared" si="339"/>
        <v>0.4595588235294118</v>
      </c>
      <c r="AF194" s="555">
        <f t="shared" si="340"/>
        <v>2030.9333333333336</v>
      </c>
      <c r="AG194" s="538">
        <f t="shared" si="341"/>
        <v>2.8952205882352939E-2</v>
      </c>
      <c r="AI194" s="177">
        <f t="shared" si="342"/>
        <v>0.7226617466007178</v>
      </c>
      <c r="AJ194" s="177">
        <f t="shared" si="343"/>
        <v>0.80278867102396512</v>
      </c>
      <c r="AK194" s="177">
        <f t="shared" si="344"/>
        <v>1.5351924473493099</v>
      </c>
      <c r="AM194" s="555">
        <f t="shared" si="345"/>
        <v>168</v>
      </c>
      <c r="AN194" s="469">
        <f t="shared" si="346"/>
        <v>308.95343327785753</v>
      </c>
      <c r="AP194">
        <f t="shared" si="347"/>
        <v>168</v>
      </c>
      <c r="AQ194">
        <f t="shared" si="348"/>
        <v>308.95343327785753</v>
      </c>
      <c r="AS194" s="5">
        <f t="shared" si="263"/>
        <v>3.2367337348882903</v>
      </c>
      <c r="AT194" s="5">
        <f t="shared" si="349"/>
        <v>2.0069716775599131</v>
      </c>
      <c r="AU194" s="5">
        <f t="shared" si="304"/>
        <v>1.2297620573283772</v>
      </c>
      <c r="AV194" s="5"/>
      <c r="AW194" s="177">
        <f t="shared" si="305"/>
        <v>0.62006079027355643</v>
      </c>
      <c r="AX194" s="177">
        <f t="shared" si="259"/>
        <v>2.9866666666666668</v>
      </c>
      <c r="AY194" s="177">
        <f t="shared" si="260"/>
        <v>0.18300653594771232</v>
      </c>
      <c r="AZ194" s="177">
        <f t="shared" si="264"/>
        <v>16.320000000000011</v>
      </c>
      <c r="BA194" s="469">
        <f t="shared" si="350"/>
        <v>8.6504050333139713</v>
      </c>
      <c r="BB194" s="469">
        <f t="shared" si="351"/>
        <v>3.8448866399999995</v>
      </c>
      <c r="BC194" s="5">
        <f t="shared" si="359"/>
        <v>0.19129632002885869</v>
      </c>
      <c r="BD194" s="469">
        <f t="shared" si="352"/>
        <v>31.354077871284051</v>
      </c>
      <c r="BF194" s="177">
        <f t="shared" si="265"/>
        <v>0.36497048313869845</v>
      </c>
      <c r="BG194" s="177">
        <f t="shared" si="261"/>
        <v>0.34283007310580377</v>
      </c>
      <c r="BI194" s="538">
        <f t="shared" si="306"/>
        <v>4.6621208746873234E-2</v>
      </c>
      <c r="BJ194" s="538">
        <f t="shared" si="307"/>
        <v>3.9168000000000008E-2</v>
      </c>
      <c r="BK194" s="538">
        <f t="shared" si="308"/>
        <v>3.861917915973219E-3</v>
      </c>
      <c r="BL194" s="538">
        <f t="shared" si="309"/>
        <v>1.540981028571429E-2</v>
      </c>
      <c r="BM194">
        <f t="shared" si="310"/>
        <v>3.48E-3</v>
      </c>
      <c r="BN194">
        <f t="shared" si="353"/>
        <v>5.4066850823625074E-6</v>
      </c>
      <c r="BO194" s="538">
        <f t="shared" si="354"/>
        <v>0.11583658832003861</v>
      </c>
      <c r="BP194" s="469">
        <f t="shared" si="311"/>
        <v>108.54093694856074</v>
      </c>
      <c r="BQ194" s="538">
        <f t="shared" si="355"/>
        <v>0.10907339934782916</v>
      </c>
      <c r="BT194" s="469">
        <f t="shared" si="312"/>
        <v>109.07339934782915</v>
      </c>
      <c r="BU194" s="538">
        <f t="shared" si="313"/>
        <v>1.3320345356249498E-2</v>
      </c>
      <c r="BV194" s="538">
        <f t="shared" si="314"/>
        <v>3.5259737707719224E-3</v>
      </c>
      <c r="BW194" s="538">
        <f t="shared" si="315"/>
        <v>0</v>
      </c>
      <c r="BX194" s="538"/>
      <c r="BY194" s="538">
        <f t="shared" si="316"/>
        <v>9.955555555555556E-3</v>
      </c>
      <c r="BZ194" s="469">
        <f t="shared" si="317"/>
        <v>26.801874682576976</v>
      </c>
      <c r="CA194" s="177">
        <f t="shared" si="318"/>
        <v>0.24441621097896687</v>
      </c>
      <c r="CB194" s="5">
        <f t="shared" si="319"/>
        <v>2.6880000000000002</v>
      </c>
      <c r="CC194" s="177">
        <f t="shared" si="320"/>
        <v>0.91665023196097728</v>
      </c>
      <c r="CD194" s="5">
        <f t="shared" si="321"/>
        <v>91.665023196097735</v>
      </c>
      <c r="CG194" s="571">
        <f t="shared" si="356"/>
        <v>-50</v>
      </c>
      <c r="CH194">
        <f t="shared" si="357"/>
        <v>-50</v>
      </c>
    </row>
    <row r="195" spans="5:86" x14ac:dyDescent="0.25">
      <c r="E195" s="174">
        <v>85</v>
      </c>
      <c r="F195" s="221">
        <f t="shared" si="358"/>
        <v>0.17</v>
      </c>
      <c r="G195" s="221"/>
      <c r="H195" s="221">
        <f t="shared" si="322"/>
        <v>2.72</v>
      </c>
      <c r="I195" s="551">
        <f t="shared" si="323"/>
        <v>12</v>
      </c>
      <c r="J195" s="451">
        <f t="shared" si="324"/>
        <v>19.584</v>
      </c>
      <c r="K195" s="451">
        <f t="shared" si="325"/>
        <v>31.584</v>
      </c>
      <c r="L195" s="451"/>
      <c r="M195" s="221">
        <f t="shared" si="326"/>
        <v>0.62006079027355621</v>
      </c>
      <c r="N195" s="176">
        <f t="shared" si="327"/>
        <v>5.0626723404255323</v>
      </c>
      <c r="O195" s="176">
        <f t="shared" si="262"/>
        <v>2.72</v>
      </c>
      <c r="P195" s="221">
        <f t="shared" si="328"/>
        <v>0.31641702127659577</v>
      </c>
      <c r="Q195" s="221">
        <f t="shared" si="329"/>
        <v>16</v>
      </c>
      <c r="R195" s="221"/>
      <c r="S195" s="176">
        <f t="shared" si="330"/>
        <v>37.731156136853897</v>
      </c>
      <c r="T195" s="546">
        <f t="shared" si="331"/>
        <v>16</v>
      </c>
      <c r="U195" s="221">
        <f t="shared" si="332"/>
        <v>0.81234567901234567</v>
      </c>
      <c r="V195" s="221">
        <f t="shared" si="333"/>
        <v>2.0308641975308643</v>
      </c>
      <c r="W195" s="221">
        <f t="shared" si="334"/>
        <v>1.2444020818203825</v>
      </c>
      <c r="X195" s="201">
        <f t="shared" si="335"/>
        <v>350</v>
      </c>
      <c r="Y195" s="451">
        <f t="shared" si="303"/>
        <v>305.31868700400031</v>
      </c>
      <c r="AA195" s="221">
        <f t="shared" si="336"/>
        <v>0.70864090316977857</v>
      </c>
      <c r="AB195" s="177">
        <f t="shared" si="337"/>
        <v>1.0855405992184108</v>
      </c>
      <c r="AC195" s="177">
        <f t="shared" si="338"/>
        <v>0.16154427883809541</v>
      </c>
      <c r="AD195" s="177"/>
      <c r="AE195" s="177">
        <f t="shared" si="339"/>
        <v>0.4595588235294118</v>
      </c>
      <c r="AF195" s="555">
        <f t="shared" si="340"/>
        <v>2055.1111111111113</v>
      </c>
      <c r="AG195" s="538">
        <f t="shared" si="341"/>
        <v>2.8952205882352939E-2</v>
      </c>
      <c r="AI195" s="177">
        <f t="shared" si="342"/>
        <v>0.7269505780017943</v>
      </c>
      <c r="AJ195" s="177">
        <f t="shared" si="343"/>
        <v>0.81234567901234567</v>
      </c>
      <c r="AK195" s="177">
        <f t="shared" si="344"/>
        <v>1.5415637860082305</v>
      </c>
      <c r="AM195" s="555">
        <f t="shared" si="345"/>
        <v>170</v>
      </c>
      <c r="AN195" s="469">
        <f t="shared" si="346"/>
        <v>305.31868700400031</v>
      </c>
      <c r="AP195">
        <f t="shared" si="347"/>
        <v>170</v>
      </c>
      <c r="AQ195">
        <f t="shared" si="348"/>
        <v>305.31868700400031</v>
      </c>
      <c r="AS195" s="5">
        <f t="shared" si="263"/>
        <v>3.2752662793512468</v>
      </c>
      <c r="AT195" s="5">
        <f t="shared" si="349"/>
        <v>2.0308641975308643</v>
      </c>
      <c r="AU195" s="5">
        <f t="shared" si="304"/>
        <v>1.2444020818203825</v>
      </c>
      <c r="AV195" s="5"/>
      <c r="AW195" s="177">
        <f t="shared" si="305"/>
        <v>0.62006079027355621</v>
      </c>
      <c r="AX195" s="177">
        <f t="shared" si="259"/>
        <v>3.0222222222222221</v>
      </c>
      <c r="AY195" s="177">
        <f t="shared" si="260"/>
        <v>0.1851851851851852</v>
      </c>
      <c r="AZ195" s="177">
        <f t="shared" si="264"/>
        <v>16.319999999999997</v>
      </c>
      <c r="BA195" s="469">
        <f t="shared" si="350"/>
        <v>8.6504050333139713</v>
      </c>
      <c r="BB195" s="469">
        <f t="shared" si="351"/>
        <v>3.9309050416666667</v>
      </c>
      <c r="BC195" s="5">
        <f t="shared" si="359"/>
        <v>0.19587810547172685</v>
      </c>
      <c r="BD195" s="469">
        <f t="shared" si="352"/>
        <v>32.096052431031865</v>
      </c>
      <c r="BF195" s="177">
        <f t="shared" si="265"/>
        <v>0.36931536984273056</v>
      </c>
      <c r="BG195" s="177">
        <f t="shared" si="261"/>
        <v>0.34691138349992062</v>
      </c>
      <c r="BI195" s="538">
        <f t="shared" si="306"/>
        <v>4.7737844840725498E-2</v>
      </c>
      <c r="BJ195" s="538">
        <f t="shared" si="307"/>
        <v>3.9167999999999994E-2</v>
      </c>
      <c r="BK195" s="538">
        <f t="shared" si="308"/>
        <v>3.8164835875500037E-3</v>
      </c>
      <c r="BL195" s="538">
        <f t="shared" si="309"/>
        <v>1.5228518399999998E-2</v>
      </c>
      <c r="BM195">
        <f t="shared" si="310"/>
        <v>3.48E-3</v>
      </c>
      <c r="BN195">
        <f t="shared" si="353"/>
        <v>5.3430770225700062E-6</v>
      </c>
      <c r="BO195" s="538">
        <f t="shared" si="354"/>
        <v>0.1169105036959051</v>
      </c>
      <c r="BP195" s="469">
        <f t="shared" si="311"/>
        <v>109.43084682827551</v>
      </c>
      <c r="BQ195" s="538">
        <f t="shared" si="355"/>
        <v>0.11091274805669869</v>
      </c>
      <c r="BT195" s="469">
        <f t="shared" si="312"/>
        <v>110.91274805669869</v>
      </c>
      <c r="BU195" s="538">
        <f t="shared" si="313"/>
        <v>1.3639384240207287E-2</v>
      </c>
      <c r="BV195" s="538">
        <f t="shared" si="314"/>
        <v>3.6104252400548701E-3</v>
      </c>
      <c r="BW195" s="538">
        <f t="shared" si="315"/>
        <v>0</v>
      </c>
      <c r="BX195" s="538"/>
      <c r="BY195" s="538">
        <f t="shared" si="316"/>
        <v>1.0074074074074074E-2</v>
      </c>
      <c r="BZ195" s="469">
        <f t="shared" si="317"/>
        <v>27.323883554336231</v>
      </c>
      <c r="CA195" s="177">
        <f t="shared" si="318"/>
        <v>0.24766747843931039</v>
      </c>
      <c r="CB195" s="5">
        <f t="shared" si="319"/>
        <v>2.72</v>
      </c>
      <c r="CC195" s="177">
        <f t="shared" si="320"/>
        <v>0.91654473412581994</v>
      </c>
      <c r="CD195" s="5">
        <f t="shared" si="321"/>
        <v>91.654473412581993</v>
      </c>
      <c r="CG195" s="571">
        <f t="shared" si="356"/>
        <v>-50</v>
      </c>
      <c r="CH195">
        <f t="shared" si="357"/>
        <v>-50</v>
      </c>
    </row>
    <row r="196" spans="5:86" x14ac:dyDescent="0.25">
      <c r="E196" s="174">
        <v>86</v>
      </c>
      <c r="F196" s="221">
        <f t="shared" si="358"/>
        <v>0.17200000000000001</v>
      </c>
      <c r="G196" s="221"/>
      <c r="H196" s="221">
        <f t="shared" si="322"/>
        <v>2.7520000000000002</v>
      </c>
      <c r="I196" s="551">
        <f t="shared" si="323"/>
        <v>12</v>
      </c>
      <c r="J196" s="451">
        <f t="shared" si="324"/>
        <v>19.584</v>
      </c>
      <c r="K196" s="451">
        <f t="shared" si="325"/>
        <v>31.584</v>
      </c>
      <c r="L196" s="451"/>
      <c r="M196" s="221">
        <f t="shared" si="326"/>
        <v>0.62006079027355621</v>
      </c>
      <c r="N196" s="176">
        <f t="shared" si="327"/>
        <v>5.0626723404255323</v>
      </c>
      <c r="O196" s="176">
        <f t="shared" si="262"/>
        <v>2.7520000000000002</v>
      </c>
      <c r="P196" s="221">
        <f t="shared" si="328"/>
        <v>0.31641702127659577</v>
      </c>
      <c r="Q196" s="221">
        <f t="shared" si="329"/>
        <v>16</v>
      </c>
      <c r="R196" s="221"/>
      <c r="S196" s="176">
        <f t="shared" si="330"/>
        <v>37.178360320492253</v>
      </c>
      <c r="T196" s="546">
        <f t="shared" si="331"/>
        <v>16</v>
      </c>
      <c r="U196" s="221">
        <f t="shared" si="332"/>
        <v>0.82190268700072622</v>
      </c>
      <c r="V196" s="221">
        <f t="shared" si="333"/>
        <v>2.0547567175018155</v>
      </c>
      <c r="W196" s="221">
        <f t="shared" si="334"/>
        <v>1.2590421063123871</v>
      </c>
      <c r="X196" s="201">
        <f t="shared" si="335"/>
        <v>350</v>
      </c>
      <c r="Y196" s="451">
        <f t="shared" si="303"/>
        <v>301.76846971325608</v>
      </c>
      <c r="AA196" s="221">
        <f t="shared" si="336"/>
        <v>0.70864090316977857</v>
      </c>
      <c r="AB196" s="177">
        <f t="shared" si="337"/>
        <v>1.0855405992184108</v>
      </c>
      <c r="AC196" s="177">
        <f t="shared" si="338"/>
        <v>0.16154427883809541</v>
      </c>
      <c r="AD196" s="177"/>
      <c r="AE196" s="177">
        <f t="shared" si="339"/>
        <v>0.4595588235294118</v>
      </c>
      <c r="AF196" s="555">
        <f t="shared" si="340"/>
        <v>2079.2888888888892</v>
      </c>
      <c r="AG196" s="538">
        <f t="shared" si="341"/>
        <v>2.8952205882352939E-2</v>
      </c>
      <c r="AI196" s="177">
        <f t="shared" si="342"/>
        <v>0.73121425431557729</v>
      </c>
      <c r="AJ196" s="177">
        <f t="shared" si="343"/>
        <v>0.82190268700072622</v>
      </c>
      <c r="AK196" s="177">
        <f t="shared" si="344"/>
        <v>1.5479351246671507</v>
      </c>
      <c r="AM196" s="555">
        <f t="shared" si="345"/>
        <v>172</v>
      </c>
      <c r="AN196" s="469">
        <f t="shared" si="346"/>
        <v>301.76846971325608</v>
      </c>
      <c r="AP196">
        <f t="shared" si="347"/>
        <v>172</v>
      </c>
      <c r="AQ196">
        <f t="shared" si="348"/>
        <v>301.76846971325608</v>
      </c>
      <c r="AS196" s="5">
        <f t="shared" si="263"/>
        <v>3.3137988238142033</v>
      </c>
      <c r="AT196" s="5">
        <f t="shared" si="349"/>
        <v>2.0547567175018155</v>
      </c>
      <c r="AU196" s="5">
        <f t="shared" si="304"/>
        <v>1.2590421063123878</v>
      </c>
      <c r="AV196" s="5"/>
      <c r="AW196" s="177">
        <f t="shared" si="305"/>
        <v>0.6200607902735561</v>
      </c>
      <c r="AX196" s="177">
        <f t="shared" si="259"/>
        <v>3.0577777777777775</v>
      </c>
      <c r="AY196" s="177">
        <f t="shared" si="260"/>
        <v>0.18736383442265803</v>
      </c>
      <c r="AZ196" s="177">
        <f t="shared" si="264"/>
        <v>16.319999999999993</v>
      </c>
      <c r="BA196" s="469">
        <f t="shared" si="350"/>
        <v>8.6504050333139713</v>
      </c>
      <c r="BB196" s="469">
        <f t="shared" si="351"/>
        <v>4.0178704066666668</v>
      </c>
      <c r="BC196" s="5">
        <f t="shared" si="359"/>
        <v>0.20051411322752843</v>
      </c>
      <c r="BD196" s="469">
        <f t="shared" si="352"/>
        <v>32.846702560848989</v>
      </c>
      <c r="BF196" s="177">
        <f t="shared" si="265"/>
        <v>0.37366025654676266</v>
      </c>
      <c r="BG196" s="177">
        <f t="shared" si="261"/>
        <v>0.35099269389403737</v>
      </c>
      <c r="BI196" s="538">
        <f t="shared" si="306"/>
        <v>4.8867695562907369E-2</v>
      </c>
      <c r="BJ196" s="538">
        <f t="shared" si="307"/>
        <v>3.9167999999999994E-2</v>
      </c>
      <c r="BK196" s="538">
        <f t="shared" si="308"/>
        <v>3.7721058714157009E-3</v>
      </c>
      <c r="BL196" s="538">
        <f t="shared" si="309"/>
        <v>1.5051442604651161E-2</v>
      </c>
      <c r="BM196">
        <f t="shared" si="310"/>
        <v>3.48E-3</v>
      </c>
      <c r="BN196">
        <f t="shared" si="353"/>
        <v>5.2809482199819816E-6</v>
      </c>
      <c r="BO196" s="538">
        <f t="shared" si="354"/>
        <v>0.11800561309646876</v>
      </c>
      <c r="BP196" s="469">
        <f t="shared" si="311"/>
        <v>110.33924403897421</v>
      </c>
      <c r="BQ196" s="538">
        <f t="shared" si="355"/>
        <v>0.1127648227857915</v>
      </c>
      <c r="BT196" s="469">
        <f t="shared" si="312"/>
        <v>112.76482278579151</v>
      </c>
      <c r="BU196" s="538">
        <f t="shared" si="313"/>
        <v>1.3962198732259248E-2</v>
      </c>
      <c r="BV196" s="538">
        <f t="shared" si="314"/>
        <v>3.6958761350098022E-3</v>
      </c>
      <c r="BW196" s="538">
        <f t="shared" si="315"/>
        <v>0</v>
      </c>
      <c r="BX196" s="538"/>
      <c r="BY196" s="538">
        <f t="shared" si="316"/>
        <v>1.0192592592592592E-2</v>
      </c>
      <c r="BZ196" s="469">
        <f t="shared" si="317"/>
        <v>27.850667459861643</v>
      </c>
      <c r="CA196" s="177">
        <f t="shared" si="318"/>
        <v>0.25095473428462739</v>
      </c>
      <c r="CB196" s="5">
        <f t="shared" si="319"/>
        <v>2.7520000000000002</v>
      </c>
      <c r="CC196" s="177">
        <f t="shared" si="320"/>
        <v>0.91643073023396382</v>
      </c>
      <c r="CD196" s="5">
        <f t="shared" si="321"/>
        <v>91.643073023396383</v>
      </c>
      <c r="CG196" s="571">
        <f t="shared" si="356"/>
        <v>-50</v>
      </c>
      <c r="CH196">
        <f t="shared" si="357"/>
        <v>-50</v>
      </c>
    </row>
    <row r="197" spans="5:86" x14ac:dyDescent="0.25">
      <c r="E197" s="174">
        <v>87</v>
      </c>
      <c r="F197" s="221">
        <f t="shared" si="358"/>
        <v>0.17400000000000002</v>
      </c>
      <c r="G197" s="221"/>
      <c r="H197" s="221">
        <f t="shared" si="322"/>
        <v>2.7840000000000003</v>
      </c>
      <c r="I197" s="551">
        <f t="shared" si="323"/>
        <v>12</v>
      </c>
      <c r="J197" s="451">
        <f t="shared" si="324"/>
        <v>19.584</v>
      </c>
      <c r="K197" s="451">
        <f t="shared" si="325"/>
        <v>31.584</v>
      </c>
      <c r="L197" s="451"/>
      <c r="M197" s="221">
        <f t="shared" si="326"/>
        <v>0.62006079027355621</v>
      </c>
      <c r="N197" s="176">
        <f t="shared" si="327"/>
        <v>5.0626723404255323</v>
      </c>
      <c r="O197" s="176">
        <f t="shared" si="262"/>
        <v>2.7840000000000003</v>
      </c>
      <c r="P197" s="221">
        <f t="shared" si="328"/>
        <v>0.31641702127659577</v>
      </c>
      <c r="Q197" s="221">
        <f t="shared" si="329"/>
        <v>16</v>
      </c>
      <c r="R197" s="221"/>
      <c r="S197" s="176">
        <f t="shared" si="330"/>
        <v>36.638308187821451</v>
      </c>
      <c r="T197" s="546">
        <f t="shared" si="331"/>
        <v>16</v>
      </c>
      <c r="U197" s="221">
        <f t="shared" si="332"/>
        <v>0.83145969498910677</v>
      </c>
      <c r="V197" s="221">
        <f t="shared" si="333"/>
        <v>2.0786492374727668</v>
      </c>
      <c r="W197" s="221">
        <f t="shared" si="334"/>
        <v>1.2736821308043915</v>
      </c>
      <c r="X197" s="201">
        <f t="shared" si="335"/>
        <v>350</v>
      </c>
      <c r="Y197" s="451">
        <f t="shared" si="303"/>
        <v>298.29986661310375</v>
      </c>
      <c r="AA197" s="221">
        <f t="shared" si="336"/>
        <v>0.70864090316977857</v>
      </c>
      <c r="AB197" s="177">
        <f t="shared" si="337"/>
        <v>1.0855405992184108</v>
      </c>
      <c r="AC197" s="177">
        <f t="shared" si="338"/>
        <v>0.16154427883809541</v>
      </c>
      <c r="AD197" s="177"/>
      <c r="AE197" s="177">
        <f t="shared" si="339"/>
        <v>0.4595588235294118</v>
      </c>
      <c r="AF197" s="555">
        <f t="shared" si="340"/>
        <v>2103.4666666666672</v>
      </c>
      <c r="AG197" s="538">
        <f t="shared" si="341"/>
        <v>2.8952205882352939E-2</v>
      </c>
      <c r="AI197" s="177">
        <f t="shared" si="342"/>
        <v>0.7354532130403868</v>
      </c>
      <c r="AJ197" s="177">
        <f t="shared" si="343"/>
        <v>0.83145969498910677</v>
      </c>
      <c r="AK197" s="177">
        <f t="shared" si="344"/>
        <v>1.5543064633260713</v>
      </c>
      <c r="AM197" s="555">
        <f t="shared" si="345"/>
        <v>174.00000000000003</v>
      </c>
      <c r="AN197" s="469">
        <f t="shared" si="346"/>
        <v>298.29986661310375</v>
      </c>
      <c r="AP197">
        <f t="shared" si="347"/>
        <v>174.00000000000003</v>
      </c>
      <c r="AQ197">
        <f t="shared" si="348"/>
        <v>298.29986661310375</v>
      </c>
      <c r="AS197" s="5">
        <f t="shared" si="263"/>
        <v>3.3523313682771589</v>
      </c>
      <c r="AT197" s="5">
        <f t="shared" si="349"/>
        <v>2.0786492374727668</v>
      </c>
      <c r="AU197" s="5">
        <f t="shared" si="304"/>
        <v>1.2736821308043922</v>
      </c>
      <c r="AV197" s="5"/>
      <c r="AW197" s="177">
        <f t="shared" si="305"/>
        <v>0.6200607902735561</v>
      </c>
      <c r="AX197" s="177">
        <f t="shared" ref="AX197:AX210" si="360">0.5*L*AJ197^2*AN197*1000</f>
        <v>3.0933333333333333</v>
      </c>
      <c r="AY197" s="177">
        <f t="shared" ref="AY197:AY210" si="361">AJ197*Nps/2*(1-AW197)</f>
        <v>0.18954248366013079</v>
      </c>
      <c r="AZ197" s="177">
        <f t="shared" si="264"/>
        <v>16.319999999999993</v>
      </c>
      <c r="BA197" s="469">
        <f t="shared" si="350"/>
        <v>8.6504050333139713</v>
      </c>
      <c r="BB197" s="469">
        <f t="shared" si="351"/>
        <v>4.105782735</v>
      </c>
      <c r="BC197" s="5">
        <f t="shared" si="359"/>
        <v>0.20520434329626322</v>
      </c>
      <c r="BD197" s="469">
        <f t="shared" si="352"/>
        <v>33.606028260735442</v>
      </c>
      <c r="BF197" s="177">
        <f t="shared" si="265"/>
        <v>0.37800514325079476</v>
      </c>
      <c r="BG197" s="177">
        <f t="shared" ref="BG197:BG210" si="362">AJ197*Nps*SQRT((1-AW197)/3)</f>
        <v>0.35507400428815411</v>
      </c>
      <c r="BI197" s="538">
        <f t="shared" si="306"/>
        <v>5.0010760913418849E-2</v>
      </c>
      <c r="BJ197" s="538">
        <f t="shared" si="307"/>
        <v>3.9167999999999994E-2</v>
      </c>
      <c r="BK197" s="538">
        <f t="shared" si="308"/>
        <v>3.7287483326637967E-3</v>
      </c>
      <c r="BL197" s="538">
        <f t="shared" si="309"/>
        <v>1.4878437517241378E-2</v>
      </c>
      <c r="BM197">
        <f t="shared" si="310"/>
        <v>3.48E-3</v>
      </c>
      <c r="BN197">
        <f t="shared" si="353"/>
        <v>5.2202476657293157E-6</v>
      </c>
      <c r="BO197" s="538">
        <f t="shared" si="354"/>
        <v>0.11912175442180685</v>
      </c>
      <c r="BP197" s="469">
        <f t="shared" si="311"/>
        <v>111.26594676332402</v>
      </c>
      <c r="BQ197" s="538">
        <f t="shared" si="355"/>
        <v>0.11462962353510761</v>
      </c>
      <c r="BT197" s="469">
        <f t="shared" si="312"/>
        <v>114.62962353510761</v>
      </c>
      <c r="BU197" s="538">
        <f t="shared" si="313"/>
        <v>1.4288788832405386E-2</v>
      </c>
      <c r="BV197" s="538">
        <f t="shared" si="314"/>
        <v>3.7823264556367223E-3</v>
      </c>
      <c r="BW197" s="538">
        <f t="shared" si="315"/>
        <v>0</v>
      </c>
      <c r="BX197" s="538"/>
      <c r="BY197" s="538">
        <f t="shared" si="316"/>
        <v>1.0311111111111111E-2</v>
      </c>
      <c r="BZ197" s="469">
        <f t="shared" si="317"/>
        <v>28.382226399153222</v>
      </c>
      <c r="CA197" s="177">
        <f t="shared" si="318"/>
        <v>0.25427779669758488</v>
      </c>
      <c r="CB197" s="5">
        <f t="shared" si="319"/>
        <v>2.7840000000000003</v>
      </c>
      <c r="CC197" s="177">
        <f t="shared" si="320"/>
        <v>0.91630857554435319</v>
      </c>
      <c r="CD197" s="5">
        <f t="shared" si="321"/>
        <v>91.630857554435323</v>
      </c>
      <c r="CG197" s="571">
        <f t="shared" si="356"/>
        <v>-50</v>
      </c>
      <c r="CH197">
        <f t="shared" si="357"/>
        <v>-50</v>
      </c>
    </row>
    <row r="198" spans="5:86" x14ac:dyDescent="0.25">
      <c r="E198" s="174">
        <v>88</v>
      </c>
      <c r="F198" s="221">
        <f t="shared" si="358"/>
        <v>0.17600000000000002</v>
      </c>
      <c r="G198" s="221"/>
      <c r="H198" s="221">
        <f t="shared" si="322"/>
        <v>2.8160000000000003</v>
      </c>
      <c r="I198" s="551">
        <f t="shared" si="323"/>
        <v>12</v>
      </c>
      <c r="J198" s="451">
        <f t="shared" si="324"/>
        <v>19.584</v>
      </c>
      <c r="K198" s="451">
        <f t="shared" si="325"/>
        <v>31.584</v>
      </c>
      <c r="L198" s="451"/>
      <c r="M198" s="221">
        <f t="shared" si="326"/>
        <v>0.62006079027355621</v>
      </c>
      <c r="N198" s="176">
        <f t="shared" si="327"/>
        <v>5.0626723404255323</v>
      </c>
      <c r="O198" s="176">
        <f t="shared" ref="O198:O261" si="363">T198*F198</f>
        <v>2.8160000000000003</v>
      </c>
      <c r="P198" s="221">
        <f t="shared" si="328"/>
        <v>0.31641702127659577</v>
      </c>
      <c r="Q198" s="221">
        <f t="shared" si="329"/>
        <v>16</v>
      </c>
      <c r="R198" s="221"/>
      <c r="S198" s="176">
        <f t="shared" si="330"/>
        <v>36.110565601536116</v>
      </c>
      <c r="T198" s="546">
        <f t="shared" si="331"/>
        <v>16</v>
      </c>
      <c r="U198" s="221">
        <f t="shared" si="332"/>
        <v>0.84101670297748732</v>
      </c>
      <c r="V198" s="221">
        <f t="shared" si="333"/>
        <v>2.102541757443718</v>
      </c>
      <c r="W198" s="221">
        <f t="shared" si="334"/>
        <v>1.2883221552963962</v>
      </c>
      <c r="X198" s="201">
        <f t="shared" si="335"/>
        <v>350</v>
      </c>
      <c r="Y198" s="451">
        <f t="shared" si="303"/>
        <v>294.91009540159126</v>
      </c>
      <c r="AA198" s="221">
        <f t="shared" si="336"/>
        <v>0.70864090316977857</v>
      </c>
      <c r="AB198" s="177">
        <f t="shared" si="337"/>
        <v>1.0855405992184108</v>
      </c>
      <c r="AC198" s="177">
        <f t="shared" si="338"/>
        <v>0.16154427883809541</v>
      </c>
      <c r="AD198" s="177"/>
      <c r="AE198" s="177">
        <f t="shared" si="339"/>
        <v>0.4595588235294118</v>
      </c>
      <c r="AF198" s="555">
        <f t="shared" si="340"/>
        <v>2127.6444444444451</v>
      </c>
      <c r="AG198" s="538">
        <f t="shared" si="341"/>
        <v>2.8952205882352939E-2</v>
      </c>
      <c r="AI198" s="177">
        <f t="shared" si="342"/>
        <v>0.73966787913804366</v>
      </c>
      <c r="AJ198" s="177">
        <f t="shared" si="343"/>
        <v>0.84101670297748732</v>
      </c>
      <c r="AK198" s="177">
        <f t="shared" si="344"/>
        <v>1.5606778019849914</v>
      </c>
      <c r="AM198" s="555">
        <f t="shared" si="345"/>
        <v>176.00000000000003</v>
      </c>
      <c r="AN198" s="469">
        <f t="shared" si="346"/>
        <v>294.91009540159126</v>
      </c>
      <c r="AP198">
        <f t="shared" si="347"/>
        <v>176.00000000000003</v>
      </c>
      <c r="AQ198">
        <f t="shared" si="348"/>
        <v>294.91009540159126</v>
      </c>
      <c r="AS198" s="5">
        <f t="shared" ref="AS198:AS262" si="364">1/AN198*1000</f>
        <v>3.3908639127401141</v>
      </c>
      <c r="AT198" s="5">
        <f t="shared" si="349"/>
        <v>2.102541757443718</v>
      </c>
      <c r="AU198" s="5">
        <f t="shared" si="304"/>
        <v>1.2883221552963962</v>
      </c>
      <c r="AV198" s="5"/>
      <c r="AW198" s="177">
        <f t="shared" si="305"/>
        <v>0.62006079027355621</v>
      </c>
      <c r="AX198" s="177">
        <f t="shared" si="360"/>
        <v>3.1288888888888895</v>
      </c>
      <c r="AY198" s="177">
        <f t="shared" si="361"/>
        <v>0.19172113289760351</v>
      </c>
      <c r="AZ198" s="177">
        <f t="shared" ref="AZ198:AZ210" si="365">AX198/AY198</f>
        <v>16.32</v>
      </c>
      <c r="BA198" s="469">
        <f t="shared" si="350"/>
        <v>8.6504050333139713</v>
      </c>
      <c r="BB198" s="469">
        <f t="shared" si="351"/>
        <v>4.1946420266666671</v>
      </c>
      <c r="BC198" s="5">
        <f t="shared" si="359"/>
        <v>0.20994879567793126</v>
      </c>
      <c r="BD198" s="469">
        <f t="shared" si="352"/>
        <v>34.374029530691224</v>
      </c>
      <c r="BF198" s="177">
        <f t="shared" ref="BF198:BF210" si="366">AJ198*SQRT(AW198/3)</f>
        <v>0.38235002995482698</v>
      </c>
      <c r="BG198" s="177">
        <f t="shared" si="362"/>
        <v>0.35915531468227074</v>
      </c>
      <c r="BI198" s="538">
        <f t="shared" si="306"/>
        <v>5.1167040892259978E-2</v>
      </c>
      <c r="BJ198" s="538">
        <f t="shared" si="307"/>
        <v>3.9168000000000008E-2</v>
      </c>
      <c r="BK198" s="538">
        <f t="shared" si="308"/>
        <v>3.6863761925198905E-3</v>
      </c>
      <c r="BL198" s="538">
        <f t="shared" si="309"/>
        <v>1.4709364363636365E-2</v>
      </c>
      <c r="BM198">
        <f t="shared" si="310"/>
        <v>3.48E-3</v>
      </c>
      <c r="BN198">
        <f t="shared" si="353"/>
        <v>5.1609266695278473E-6</v>
      </c>
      <c r="BO198" s="538">
        <f t="shared" si="354"/>
        <v>0.12025877409087382</v>
      </c>
      <c r="BP198" s="469">
        <f t="shared" si="311"/>
        <v>112.21078144841624</v>
      </c>
      <c r="BQ198" s="538">
        <f t="shared" si="355"/>
        <v>0.11650715030464702</v>
      </c>
      <c r="BT198" s="469">
        <f t="shared" si="312"/>
        <v>116.50715030464701</v>
      </c>
      <c r="BU198" s="538">
        <f t="shared" si="313"/>
        <v>1.4619154540645711E-2</v>
      </c>
      <c r="BV198" s="538">
        <f t="shared" si="314"/>
        <v>3.8697762019356281E-3</v>
      </c>
      <c r="BW198" s="538">
        <f t="shared" si="315"/>
        <v>0</v>
      </c>
      <c r="BX198" s="538"/>
      <c r="BY198" s="538">
        <f t="shared" si="316"/>
        <v>1.0429629629629631E-2</v>
      </c>
      <c r="BZ198" s="469">
        <f t="shared" si="317"/>
        <v>28.918560372210965</v>
      </c>
      <c r="CA198" s="177">
        <f t="shared" si="318"/>
        <v>0.25763649212527423</v>
      </c>
      <c r="CB198" s="5">
        <f t="shared" si="319"/>
        <v>2.8160000000000003</v>
      </c>
      <c r="CC198" s="177">
        <f t="shared" si="320"/>
        <v>0.91617860707167409</v>
      </c>
      <c r="CD198" s="5">
        <f t="shared" si="321"/>
        <v>91.617860707167409</v>
      </c>
      <c r="CG198" s="571">
        <f t="shared" si="356"/>
        <v>-50</v>
      </c>
      <c r="CH198">
        <f t="shared" si="357"/>
        <v>-50</v>
      </c>
    </row>
    <row r="199" spans="5:86" x14ac:dyDescent="0.25">
      <c r="E199" s="174">
        <v>89</v>
      </c>
      <c r="F199" s="221">
        <f t="shared" si="358"/>
        <v>0.17800000000000002</v>
      </c>
      <c r="G199" s="221"/>
      <c r="H199" s="221">
        <f t="shared" si="322"/>
        <v>2.8480000000000003</v>
      </c>
      <c r="I199" s="551">
        <f t="shared" si="323"/>
        <v>12</v>
      </c>
      <c r="J199" s="451">
        <f t="shared" si="324"/>
        <v>19.584</v>
      </c>
      <c r="K199" s="451">
        <f t="shared" si="325"/>
        <v>31.584</v>
      </c>
      <c r="L199" s="451"/>
      <c r="M199" s="221">
        <f t="shared" si="326"/>
        <v>0.62006079027355621</v>
      </c>
      <c r="N199" s="176">
        <f t="shared" si="327"/>
        <v>5.0626723404255323</v>
      </c>
      <c r="O199" s="176">
        <f t="shared" si="363"/>
        <v>2.8480000000000003</v>
      </c>
      <c r="P199" s="221">
        <f t="shared" si="328"/>
        <v>0.31641702127659577</v>
      </c>
      <c r="Q199" s="221">
        <f t="shared" si="329"/>
        <v>16</v>
      </c>
      <c r="R199" s="221"/>
      <c r="S199" s="176">
        <f t="shared" si="330"/>
        <v>35.594717939426637</v>
      </c>
      <c r="T199" s="546">
        <f t="shared" si="331"/>
        <v>16</v>
      </c>
      <c r="U199" s="221">
        <f t="shared" si="332"/>
        <v>0.85057371096586787</v>
      </c>
      <c r="V199" s="221">
        <f t="shared" si="333"/>
        <v>2.1264342774146701</v>
      </c>
      <c r="W199" s="221">
        <f t="shared" si="334"/>
        <v>1.3029621797884006</v>
      </c>
      <c r="X199" s="201">
        <f t="shared" si="335"/>
        <v>350</v>
      </c>
      <c r="Y199" s="451">
        <f t="shared" si="303"/>
        <v>291.59649882404523</v>
      </c>
      <c r="AA199" s="221">
        <f t="shared" si="336"/>
        <v>0.70864090316977857</v>
      </c>
      <c r="AB199" s="177">
        <f t="shared" si="337"/>
        <v>1.0855405992184108</v>
      </c>
      <c r="AC199" s="177">
        <f t="shared" si="338"/>
        <v>0.16154427883809541</v>
      </c>
      <c r="AD199" s="177"/>
      <c r="AE199" s="177">
        <f t="shared" si="339"/>
        <v>0.4595588235294118</v>
      </c>
      <c r="AF199" s="555">
        <f t="shared" si="340"/>
        <v>2151.8222222222225</v>
      </c>
      <c r="AG199" s="538">
        <f t="shared" si="341"/>
        <v>2.8952205882352939E-2</v>
      </c>
      <c r="AI199" s="177">
        <f t="shared" si="342"/>
        <v>0.74385866553110369</v>
      </c>
      <c r="AJ199" s="177">
        <f t="shared" si="343"/>
        <v>0.85057371096586787</v>
      </c>
      <c r="AK199" s="177">
        <f t="shared" si="344"/>
        <v>1.567049140643912</v>
      </c>
      <c r="AM199" s="555">
        <f t="shared" si="345"/>
        <v>178.00000000000003</v>
      </c>
      <c r="AN199" s="469">
        <f t="shared" si="346"/>
        <v>291.59649882404523</v>
      </c>
      <c r="AP199">
        <f t="shared" si="347"/>
        <v>178.00000000000003</v>
      </c>
      <c r="AQ199">
        <f t="shared" si="348"/>
        <v>291.59649882404523</v>
      </c>
      <c r="AS199" s="5">
        <f t="shared" si="364"/>
        <v>3.4293964572030706</v>
      </c>
      <c r="AT199" s="5">
        <f t="shared" si="349"/>
        <v>2.1264342774146701</v>
      </c>
      <c r="AU199" s="5">
        <f t="shared" si="304"/>
        <v>1.3029621797884006</v>
      </c>
      <c r="AV199" s="5"/>
      <c r="AW199" s="177">
        <f t="shared" si="305"/>
        <v>0.62006079027355632</v>
      </c>
      <c r="AX199" s="177">
        <f t="shared" si="360"/>
        <v>3.1644444444444439</v>
      </c>
      <c r="AY199" s="177">
        <f t="shared" si="361"/>
        <v>0.19389978213507622</v>
      </c>
      <c r="AZ199" s="177">
        <f t="shared" si="365"/>
        <v>16.32</v>
      </c>
      <c r="BA199" s="469">
        <f t="shared" si="350"/>
        <v>8.6504050333139713</v>
      </c>
      <c r="BB199" s="469">
        <f t="shared" si="351"/>
        <v>4.2844482816666662</v>
      </c>
      <c r="BC199" s="5">
        <f t="shared" si="359"/>
        <v>0.21474747037253267</v>
      </c>
      <c r="BD199" s="469">
        <f t="shared" si="352"/>
        <v>35.150706370716343</v>
      </c>
      <c r="BF199" s="177">
        <f t="shared" si="366"/>
        <v>0.38669491665885908</v>
      </c>
      <c r="BG199" s="177">
        <f t="shared" si="362"/>
        <v>0.36323662507638749</v>
      </c>
      <c r="BI199" s="538">
        <f t="shared" si="306"/>
        <v>5.2336535499430688E-2</v>
      </c>
      <c r="BJ199" s="538">
        <f t="shared" si="307"/>
        <v>3.9167999999999994E-2</v>
      </c>
      <c r="BK199" s="538">
        <f t="shared" si="308"/>
        <v>3.644956235300565E-3</v>
      </c>
      <c r="BL199" s="538">
        <f t="shared" si="309"/>
        <v>1.4544090606741571E-2</v>
      </c>
      <c r="BM199">
        <f t="shared" si="310"/>
        <v>3.48E-3</v>
      </c>
      <c r="BN199">
        <f t="shared" si="353"/>
        <v>5.1029387294207916E-6</v>
      </c>
      <c r="BO199" s="538">
        <f t="shared" si="354"/>
        <v>0.12141652657783848</v>
      </c>
      <c r="BP199" s="469">
        <f t="shared" si="311"/>
        <v>113.17358234147282</v>
      </c>
      <c r="BQ199" s="538">
        <f t="shared" si="355"/>
        <v>0.11839740309440973</v>
      </c>
      <c r="BT199" s="469">
        <f t="shared" si="312"/>
        <v>118.39740309440973</v>
      </c>
      <c r="BU199" s="538">
        <f t="shared" si="313"/>
        <v>1.4953295856980199E-2</v>
      </c>
      <c r="BV199" s="538">
        <f t="shared" si="314"/>
        <v>3.9582253739065222E-3</v>
      </c>
      <c r="BW199" s="538">
        <f t="shared" si="315"/>
        <v>0</v>
      </c>
      <c r="BX199" s="538"/>
      <c r="BY199" s="538">
        <f t="shared" si="316"/>
        <v>1.0548148148148149E-2</v>
      </c>
      <c r="BZ199" s="469">
        <f t="shared" si="317"/>
        <v>29.459669379034867</v>
      </c>
      <c r="CA199" s="177">
        <f t="shared" si="318"/>
        <v>0.26103065481491738</v>
      </c>
      <c r="CB199" s="5">
        <f t="shared" si="319"/>
        <v>2.8480000000000003</v>
      </c>
      <c r="CC199" s="177">
        <f t="shared" si="320"/>
        <v>0.9160411447179968</v>
      </c>
      <c r="CD199" s="5">
        <f t="shared" si="321"/>
        <v>91.604114471799676</v>
      </c>
      <c r="CG199" s="571">
        <f t="shared" si="356"/>
        <v>-50</v>
      </c>
      <c r="CH199">
        <f t="shared" si="357"/>
        <v>-50</v>
      </c>
    </row>
    <row r="200" spans="5:86" x14ac:dyDescent="0.25">
      <c r="E200" s="174">
        <v>90</v>
      </c>
      <c r="F200" s="221">
        <f t="shared" si="358"/>
        <v>0.18000000000000002</v>
      </c>
      <c r="G200" s="221"/>
      <c r="H200" s="221">
        <f t="shared" si="322"/>
        <v>2.8800000000000003</v>
      </c>
      <c r="I200" s="551">
        <f t="shared" si="323"/>
        <v>12</v>
      </c>
      <c r="J200" s="451">
        <f t="shared" si="324"/>
        <v>19.584</v>
      </c>
      <c r="K200" s="451">
        <f t="shared" si="325"/>
        <v>31.584</v>
      </c>
      <c r="L200" s="451"/>
      <c r="M200" s="221">
        <f t="shared" si="326"/>
        <v>0.62006079027355621</v>
      </c>
      <c r="N200" s="176">
        <f t="shared" si="327"/>
        <v>5.0626723404255323</v>
      </c>
      <c r="O200" s="176">
        <f t="shared" si="363"/>
        <v>2.8800000000000003</v>
      </c>
      <c r="P200" s="221">
        <f t="shared" si="328"/>
        <v>0.31641702127659577</v>
      </c>
      <c r="Q200" s="221">
        <f t="shared" si="329"/>
        <v>16</v>
      </c>
      <c r="R200" s="221"/>
      <c r="S200" s="176">
        <f t="shared" si="330"/>
        <v>35.090369010248764</v>
      </c>
      <c r="T200" s="546">
        <f t="shared" si="331"/>
        <v>16</v>
      </c>
      <c r="U200" s="221">
        <f t="shared" si="332"/>
        <v>0.86013071895424842</v>
      </c>
      <c r="V200" s="221">
        <f t="shared" si="333"/>
        <v>2.1503267973856213</v>
      </c>
      <c r="W200" s="221">
        <f t="shared" si="334"/>
        <v>1.3176022042804052</v>
      </c>
      <c r="X200" s="201">
        <f t="shared" si="335"/>
        <v>350</v>
      </c>
      <c r="Y200" s="451">
        <f t="shared" si="303"/>
        <v>288.35653772600028</v>
      </c>
      <c r="AA200" s="221">
        <f t="shared" si="336"/>
        <v>0.70864090316977857</v>
      </c>
      <c r="AB200" s="177">
        <f t="shared" si="337"/>
        <v>1.0855405992184108</v>
      </c>
      <c r="AC200" s="177">
        <f t="shared" si="338"/>
        <v>0.16154427883809541</v>
      </c>
      <c r="AD200" s="177"/>
      <c r="AE200" s="177">
        <f t="shared" si="339"/>
        <v>0.4595588235294118</v>
      </c>
      <c r="AF200" s="555">
        <f t="shared" si="340"/>
        <v>2176.0000000000005</v>
      </c>
      <c r="AG200" s="538">
        <f t="shared" si="341"/>
        <v>2.8952205882352939E-2</v>
      </c>
      <c r="AI200" s="177">
        <f t="shared" si="342"/>
        <v>0.74802597357502043</v>
      </c>
      <c r="AJ200" s="177">
        <f t="shared" si="343"/>
        <v>0.86013071895424842</v>
      </c>
      <c r="AK200" s="177">
        <f t="shared" si="344"/>
        <v>1.5734204793028321</v>
      </c>
      <c r="AM200" s="555">
        <f t="shared" si="345"/>
        <v>180.00000000000003</v>
      </c>
      <c r="AN200" s="469">
        <f t="shared" si="346"/>
        <v>288.35653772600028</v>
      </c>
      <c r="AP200">
        <f t="shared" si="347"/>
        <v>180.00000000000003</v>
      </c>
      <c r="AQ200">
        <f t="shared" si="348"/>
        <v>288.35653772600028</v>
      </c>
      <c r="AS200" s="5">
        <f t="shared" si="364"/>
        <v>3.4679290016660262</v>
      </c>
      <c r="AT200" s="5">
        <f t="shared" si="349"/>
        <v>2.1503267973856213</v>
      </c>
      <c r="AU200" s="5">
        <f t="shared" si="304"/>
        <v>1.317602204280405</v>
      </c>
      <c r="AV200" s="5"/>
      <c r="AW200" s="177">
        <f t="shared" si="305"/>
        <v>0.62006079027355632</v>
      </c>
      <c r="AX200" s="177">
        <f t="shared" si="360"/>
        <v>3.2</v>
      </c>
      <c r="AY200" s="177">
        <f t="shared" si="361"/>
        <v>0.19607843137254899</v>
      </c>
      <c r="AZ200" s="177">
        <f t="shared" si="365"/>
        <v>16.320000000000004</v>
      </c>
      <c r="BA200" s="469">
        <f t="shared" si="350"/>
        <v>8.6504050333139713</v>
      </c>
      <c r="BB200" s="469">
        <f t="shared" si="351"/>
        <v>4.3752014999999993</v>
      </c>
      <c r="BC200" s="5">
        <f t="shared" si="359"/>
        <v>0.21960036738006747</v>
      </c>
      <c r="BD200" s="469">
        <f t="shared" si="352"/>
        <v>35.936058780810797</v>
      </c>
      <c r="BF200" s="177">
        <f t="shared" si="366"/>
        <v>0.39103980336289124</v>
      </c>
      <c r="BG200" s="177">
        <f t="shared" si="362"/>
        <v>0.36731793547050418</v>
      </c>
      <c r="BI200" s="538">
        <f t="shared" si="306"/>
        <v>5.3519244734931019E-2</v>
      </c>
      <c r="BJ200" s="538">
        <f t="shared" si="307"/>
        <v>3.9167999999999994E-2</v>
      </c>
      <c r="BK200" s="538">
        <f t="shared" si="308"/>
        <v>3.6044567215750031E-3</v>
      </c>
      <c r="BL200" s="538">
        <f t="shared" si="309"/>
        <v>1.4382489599999999E-2</v>
      </c>
      <c r="BM200">
        <f t="shared" si="310"/>
        <v>3.48E-3</v>
      </c>
      <c r="BN200">
        <f t="shared" si="353"/>
        <v>5.0462394102050054E-6</v>
      </c>
      <c r="BO200" s="538">
        <f t="shared" si="354"/>
        <v>0.122594873979394</v>
      </c>
      <c r="BP200" s="469">
        <f t="shared" si="311"/>
        <v>114.15419105650599</v>
      </c>
      <c r="BQ200" s="538">
        <f t="shared" si="355"/>
        <v>0.12030038190439574</v>
      </c>
      <c r="BT200" s="469">
        <f t="shared" si="312"/>
        <v>120.30038190439573</v>
      </c>
      <c r="BU200" s="538">
        <f t="shared" si="313"/>
        <v>1.5291212781408865E-2</v>
      </c>
      <c r="BV200" s="538">
        <f t="shared" si="314"/>
        <v>4.0476739715494033E-3</v>
      </c>
      <c r="BW200" s="538">
        <f t="shared" si="315"/>
        <v>0</v>
      </c>
      <c r="BX200" s="538"/>
      <c r="BY200" s="538">
        <f t="shared" si="316"/>
        <v>1.0666666666666668E-2</v>
      </c>
      <c r="BZ200" s="469">
        <f t="shared" si="317"/>
        <v>30.005553419624935</v>
      </c>
      <c r="CA200" s="177">
        <f t="shared" si="318"/>
        <v>0.26446012638052663</v>
      </c>
      <c r="CB200" s="5">
        <f t="shared" si="319"/>
        <v>2.8800000000000003</v>
      </c>
      <c r="CC200" s="177">
        <f t="shared" si="320"/>
        <v>0.91589649232253523</v>
      </c>
      <c r="CD200" s="5">
        <f t="shared" si="321"/>
        <v>91.589649232253521</v>
      </c>
      <c r="CG200" s="571">
        <f t="shared" si="356"/>
        <v>-50</v>
      </c>
      <c r="CH200">
        <f t="shared" si="357"/>
        <v>-50</v>
      </c>
    </row>
    <row r="201" spans="5:86" x14ac:dyDescent="0.25">
      <c r="E201" s="174">
        <v>91</v>
      </c>
      <c r="F201" s="221">
        <f t="shared" si="358"/>
        <v>0.18200000000000002</v>
      </c>
      <c r="G201" s="221"/>
      <c r="H201" s="221">
        <f t="shared" si="322"/>
        <v>2.9120000000000004</v>
      </c>
      <c r="I201" s="551">
        <f t="shared" si="323"/>
        <v>12</v>
      </c>
      <c r="J201" s="451">
        <f t="shared" si="324"/>
        <v>19.584</v>
      </c>
      <c r="K201" s="451">
        <f t="shared" si="325"/>
        <v>31.584</v>
      </c>
      <c r="L201" s="451"/>
      <c r="M201" s="221">
        <f t="shared" si="326"/>
        <v>0.62006079027355621</v>
      </c>
      <c r="N201" s="176">
        <f t="shared" si="327"/>
        <v>5.0626723404255323</v>
      </c>
      <c r="O201" s="176">
        <f t="shared" si="363"/>
        <v>2.9120000000000004</v>
      </c>
      <c r="P201" s="221">
        <f t="shared" si="328"/>
        <v>0.31641702127659577</v>
      </c>
      <c r="Q201" s="221">
        <f t="shared" si="329"/>
        <v>16</v>
      </c>
      <c r="R201" s="221"/>
      <c r="S201" s="176">
        <f t="shared" si="330"/>
        <v>34.597140041074894</v>
      </c>
      <c r="T201" s="546">
        <f t="shared" si="331"/>
        <v>16</v>
      </c>
      <c r="U201" s="221">
        <f t="shared" si="332"/>
        <v>0.86968772694262897</v>
      </c>
      <c r="V201" s="221">
        <f t="shared" si="333"/>
        <v>2.1742193173565725</v>
      </c>
      <c r="W201" s="221">
        <f t="shared" si="334"/>
        <v>1.3322422287724098</v>
      </c>
      <c r="X201" s="201">
        <f t="shared" si="335"/>
        <v>350</v>
      </c>
      <c r="Y201" s="451">
        <f t="shared" si="303"/>
        <v>285.18778456417607</v>
      </c>
      <c r="AA201" s="221">
        <f t="shared" si="336"/>
        <v>0.70864090316977857</v>
      </c>
      <c r="AB201" s="177">
        <f t="shared" si="337"/>
        <v>1.0855405992184108</v>
      </c>
      <c r="AC201" s="177">
        <f t="shared" si="338"/>
        <v>0.16154427883809541</v>
      </c>
      <c r="AD201" s="177"/>
      <c r="AE201" s="177">
        <f t="shared" si="339"/>
        <v>0.4595588235294118</v>
      </c>
      <c r="AF201" s="555">
        <f t="shared" si="340"/>
        <v>2200.1777777777784</v>
      </c>
      <c r="AG201" s="538">
        <f t="shared" si="341"/>
        <v>2.8952205882352939E-2</v>
      </c>
      <c r="AI201" s="177">
        <f t="shared" si="342"/>
        <v>0.75217019350676217</v>
      </c>
      <c r="AJ201" s="177">
        <f t="shared" si="343"/>
        <v>0.86968772694262897</v>
      </c>
      <c r="AK201" s="177">
        <f t="shared" si="344"/>
        <v>1.5797918179617527</v>
      </c>
      <c r="AM201" s="555">
        <f t="shared" si="345"/>
        <v>182.00000000000003</v>
      </c>
      <c r="AN201" s="469">
        <f t="shared" si="346"/>
        <v>285.18778456417607</v>
      </c>
      <c r="AP201">
        <f t="shared" si="347"/>
        <v>182.00000000000003</v>
      </c>
      <c r="AQ201">
        <f t="shared" si="348"/>
        <v>285.18778456417607</v>
      </c>
      <c r="AS201" s="5">
        <f t="shared" si="364"/>
        <v>3.5064615461289823</v>
      </c>
      <c r="AT201" s="5">
        <f t="shared" si="349"/>
        <v>2.1742193173565725</v>
      </c>
      <c r="AU201" s="5">
        <f t="shared" si="304"/>
        <v>1.3322422287724098</v>
      </c>
      <c r="AV201" s="5"/>
      <c r="AW201" s="177">
        <f t="shared" si="305"/>
        <v>0.62006079027355621</v>
      </c>
      <c r="AX201" s="177">
        <f t="shared" si="360"/>
        <v>3.235555555555556</v>
      </c>
      <c r="AY201" s="177">
        <f t="shared" si="361"/>
        <v>0.19825708061002181</v>
      </c>
      <c r="AZ201" s="177">
        <f t="shared" si="365"/>
        <v>16.32</v>
      </c>
      <c r="BA201" s="469">
        <f t="shared" si="350"/>
        <v>8.6504050333139713</v>
      </c>
      <c r="BB201" s="469">
        <f t="shared" si="351"/>
        <v>4.4669016816666671</v>
      </c>
      <c r="BC201" s="5">
        <f t="shared" si="359"/>
        <v>0.22450748670053575</v>
      </c>
      <c r="BD201" s="469">
        <f t="shared" si="352"/>
        <v>36.730086760974608</v>
      </c>
      <c r="BF201" s="177">
        <f t="shared" si="366"/>
        <v>0.39538469006692334</v>
      </c>
      <c r="BG201" s="177">
        <f t="shared" si="362"/>
        <v>0.37139924586462092</v>
      </c>
      <c r="BI201" s="538">
        <f t="shared" si="306"/>
        <v>5.4715168598760952E-2</v>
      </c>
      <c r="BJ201" s="538">
        <f t="shared" si="307"/>
        <v>3.9167999999999994E-2</v>
      </c>
      <c r="BK201" s="538">
        <f t="shared" si="308"/>
        <v>3.5648473070522008E-3</v>
      </c>
      <c r="BL201" s="538">
        <f t="shared" si="309"/>
        <v>1.4224440263736262E-2</v>
      </c>
      <c r="BM201">
        <f t="shared" si="310"/>
        <v>3.48E-3</v>
      </c>
      <c r="BN201">
        <f t="shared" si="353"/>
        <v>4.9907862298730814E-6</v>
      </c>
      <c r="BO201" s="538">
        <f t="shared" si="354"/>
        <v>0.12379368561065728</v>
      </c>
      <c r="BP201" s="469">
        <f t="shared" si="311"/>
        <v>115.1524561695494</v>
      </c>
      <c r="BQ201" s="538">
        <f t="shared" si="355"/>
        <v>0.12221608673460511</v>
      </c>
      <c r="BT201" s="469">
        <f t="shared" si="312"/>
        <v>122.21608673460511</v>
      </c>
      <c r="BU201" s="538">
        <f t="shared" si="313"/>
        <v>1.5632905313931703E-2</v>
      </c>
      <c r="BV201" s="538">
        <f t="shared" si="314"/>
        <v>4.1381219948642741E-3</v>
      </c>
      <c r="BW201" s="538">
        <f t="shared" si="315"/>
        <v>0</v>
      </c>
      <c r="BX201" s="538"/>
      <c r="BY201" s="538">
        <f t="shared" si="316"/>
        <v>1.0785185185185186E-2</v>
      </c>
      <c r="BZ201" s="469">
        <f t="shared" si="317"/>
        <v>30.556212493981164</v>
      </c>
      <c r="CA201" s="177">
        <f t="shared" si="318"/>
        <v>0.26792475539813571</v>
      </c>
      <c r="CB201" s="5">
        <f t="shared" si="319"/>
        <v>2.9120000000000004</v>
      </c>
      <c r="CC201" s="177">
        <f t="shared" si="320"/>
        <v>0.91574493863626316</v>
      </c>
      <c r="CD201" s="5">
        <f t="shared" si="321"/>
        <v>91.574493863626316</v>
      </c>
      <c r="CG201" s="571">
        <f t="shared" si="356"/>
        <v>-50</v>
      </c>
      <c r="CH201">
        <f t="shared" si="357"/>
        <v>-50</v>
      </c>
    </row>
    <row r="202" spans="5:86" x14ac:dyDescent="0.25">
      <c r="E202" s="174">
        <v>92</v>
      </c>
      <c r="F202" s="221">
        <f t="shared" si="358"/>
        <v>0.18400000000000002</v>
      </c>
      <c r="G202" s="221"/>
      <c r="H202" s="221">
        <f t="shared" si="322"/>
        <v>2.9440000000000004</v>
      </c>
      <c r="I202" s="551">
        <f t="shared" si="323"/>
        <v>12</v>
      </c>
      <c r="J202" s="451">
        <f t="shared" si="324"/>
        <v>19.584</v>
      </c>
      <c r="K202" s="451">
        <f t="shared" si="325"/>
        <v>31.584</v>
      </c>
      <c r="L202" s="451"/>
      <c r="M202" s="221">
        <f t="shared" si="326"/>
        <v>0.62006079027355621</v>
      </c>
      <c r="N202" s="176">
        <f t="shared" si="327"/>
        <v>5.0626723404255323</v>
      </c>
      <c r="O202" s="176">
        <f t="shared" si="363"/>
        <v>2.9440000000000004</v>
      </c>
      <c r="P202" s="221">
        <f t="shared" si="328"/>
        <v>0.31641702127659577</v>
      </c>
      <c r="Q202" s="221">
        <f t="shared" si="329"/>
        <v>16</v>
      </c>
      <c r="R202" s="221"/>
      <c r="S202" s="176">
        <f t="shared" si="330"/>
        <v>34.114668730688145</v>
      </c>
      <c r="T202" s="546">
        <f t="shared" si="331"/>
        <v>16</v>
      </c>
      <c r="U202" s="221">
        <f t="shared" si="332"/>
        <v>0.87924473493100952</v>
      </c>
      <c r="V202" s="221">
        <f t="shared" si="333"/>
        <v>2.1981118373275237</v>
      </c>
      <c r="W202" s="221">
        <f t="shared" si="334"/>
        <v>1.346882253264414</v>
      </c>
      <c r="X202" s="201">
        <f t="shared" si="335"/>
        <v>350</v>
      </c>
      <c r="Y202" s="451">
        <f t="shared" si="303"/>
        <v>282.0879173406525</v>
      </c>
      <c r="AA202" s="221">
        <f t="shared" si="336"/>
        <v>0.70864090316977857</v>
      </c>
      <c r="AB202" s="177">
        <f t="shared" si="337"/>
        <v>1.0855405992184108</v>
      </c>
      <c r="AC202" s="177">
        <f t="shared" si="338"/>
        <v>0.16154427883809541</v>
      </c>
      <c r="AD202" s="177"/>
      <c r="AE202" s="177">
        <f t="shared" si="339"/>
        <v>0.4595588235294118</v>
      </c>
      <c r="AF202" s="555">
        <f t="shared" si="340"/>
        <v>2224.3555555555558</v>
      </c>
      <c r="AG202" s="538">
        <f t="shared" si="341"/>
        <v>2.8952205882352939E-2</v>
      </c>
      <c r="AI202" s="177">
        <f t="shared" si="342"/>
        <v>0.75629170487130348</v>
      </c>
      <c r="AJ202" s="177">
        <f t="shared" si="343"/>
        <v>0.87924473493100952</v>
      </c>
      <c r="AK202" s="177">
        <f t="shared" si="344"/>
        <v>1.5861631566206729</v>
      </c>
      <c r="AM202" s="555">
        <f t="shared" si="345"/>
        <v>184.00000000000003</v>
      </c>
      <c r="AN202" s="469">
        <f t="shared" si="346"/>
        <v>282.0879173406525</v>
      </c>
      <c r="AP202">
        <f t="shared" si="347"/>
        <v>184.00000000000003</v>
      </c>
      <c r="AQ202">
        <f t="shared" si="348"/>
        <v>282.0879173406525</v>
      </c>
      <c r="AS202" s="5">
        <f t="shared" si="364"/>
        <v>3.544994090591937</v>
      </c>
      <c r="AT202" s="5">
        <f t="shared" si="349"/>
        <v>2.1981118373275237</v>
      </c>
      <c r="AU202" s="5">
        <f t="shared" si="304"/>
        <v>1.3468822532644134</v>
      </c>
      <c r="AV202" s="5"/>
      <c r="AW202" s="177">
        <f t="shared" si="305"/>
        <v>0.62006079027355632</v>
      </c>
      <c r="AX202" s="177">
        <f t="shared" si="360"/>
        <v>3.2711111111111122</v>
      </c>
      <c r="AY202" s="177">
        <f t="shared" si="361"/>
        <v>0.20043572984749453</v>
      </c>
      <c r="AZ202" s="177">
        <f t="shared" si="365"/>
        <v>16.320000000000007</v>
      </c>
      <c r="BA202" s="469">
        <f t="shared" si="350"/>
        <v>8.6504050333139713</v>
      </c>
      <c r="BB202" s="469">
        <f t="shared" si="351"/>
        <v>4.5595488266666671</v>
      </c>
      <c r="BC202" s="5">
        <f t="shared" si="359"/>
        <v>0.22946882833393709</v>
      </c>
      <c r="BD202" s="469">
        <f t="shared" si="352"/>
        <v>37.532790311207712</v>
      </c>
      <c r="BF202" s="177">
        <f t="shared" si="366"/>
        <v>0.3997295767709555</v>
      </c>
      <c r="BG202" s="177">
        <f t="shared" si="362"/>
        <v>0.37548055625873761</v>
      </c>
      <c r="BI202" s="538">
        <f t="shared" si="306"/>
        <v>5.5924307090920514E-2</v>
      </c>
      <c r="BJ202" s="538">
        <f t="shared" si="307"/>
        <v>3.9168000000000008E-2</v>
      </c>
      <c r="BK202" s="538">
        <f t="shared" si="308"/>
        <v>3.5260989667581562E-3</v>
      </c>
      <c r="BL202" s="538">
        <f t="shared" si="309"/>
        <v>1.4069826782608697E-2</v>
      </c>
      <c r="BM202">
        <f t="shared" si="310"/>
        <v>3.48E-3</v>
      </c>
      <c r="BN202">
        <f t="shared" si="353"/>
        <v>4.9365385534614192E-6</v>
      </c>
      <c r="BO202" s="538">
        <f t="shared" si="354"/>
        <v>0.12501283762748477</v>
      </c>
      <c r="BP202" s="469">
        <f t="shared" si="311"/>
        <v>116.16823284028736</v>
      </c>
      <c r="BQ202" s="538">
        <f t="shared" si="355"/>
        <v>0.12414451758503776</v>
      </c>
      <c r="BT202" s="469">
        <f t="shared" si="312"/>
        <v>124.14451758503776</v>
      </c>
      <c r="BU202" s="538">
        <f t="shared" si="313"/>
        <v>1.5978373454548719E-2</v>
      </c>
      <c r="BV202" s="538">
        <f t="shared" si="314"/>
        <v>4.2295694438511311E-3</v>
      </c>
      <c r="BW202" s="538">
        <f t="shared" si="315"/>
        <v>0</v>
      </c>
      <c r="BX202" s="538"/>
      <c r="BY202" s="538">
        <f t="shared" si="316"/>
        <v>1.0903703703703707E-2</v>
      </c>
      <c r="BZ202" s="469">
        <f t="shared" si="317"/>
        <v>31.111646602103558</v>
      </c>
      <c r="CA202" s="177">
        <f t="shared" si="318"/>
        <v>0.27142439702742865</v>
      </c>
      <c r="CB202" s="5">
        <f t="shared" si="319"/>
        <v>2.9440000000000004</v>
      </c>
      <c r="CC202" s="177">
        <f t="shared" si="320"/>
        <v>0.91558675822751323</v>
      </c>
      <c r="CD202" s="5">
        <f t="shared" si="321"/>
        <v>91.558675822751326</v>
      </c>
      <c r="CG202" s="571">
        <f t="shared" si="356"/>
        <v>-50</v>
      </c>
      <c r="CH202">
        <f t="shared" si="357"/>
        <v>-50</v>
      </c>
    </row>
    <row r="203" spans="5:86" x14ac:dyDescent="0.25">
      <c r="E203" s="174">
        <v>93</v>
      </c>
      <c r="F203" s="221">
        <f t="shared" si="358"/>
        <v>0.18600000000000003</v>
      </c>
      <c r="G203" s="221"/>
      <c r="H203" s="221">
        <f t="shared" si="322"/>
        <v>2.9760000000000004</v>
      </c>
      <c r="I203" s="551">
        <f t="shared" si="323"/>
        <v>12</v>
      </c>
      <c r="J203" s="451">
        <f t="shared" si="324"/>
        <v>19.584</v>
      </c>
      <c r="K203" s="451">
        <f t="shared" si="325"/>
        <v>31.584</v>
      </c>
      <c r="L203" s="451"/>
      <c r="M203" s="221">
        <f t="shared" si="326"/>
        <v>0.62006079027355621</v>
      </c>
      <c r="N203" s="176">
        <f t="shared" si="327"/>
        <v>5.0626723404255323</v>
      </c>
      <c r="O203" s="176">
        <f t="shared" si="363"/>
        <v>2.9760000000000004</v>
      </c>
      <c r="P203" s="221">
        <f t="shared" si="328"/>
        <v>0.31641702127659577</v>
      </c>
      <c r="Q203" s="221">
        <f t="shared" si="329"/>
        <v>16</v>
      </c>
      <c r="R203" s="221"/>
      <c r="S203" s="176">
        <f t="shared" si="330"/>
        <v>33.642608364048449</v>
      </c>
      <c r="T203" s="546">
        <f t="shared" si="331"/>
        <v>16</v>
      </c>
      <c r="U203" s="221">
        <f t="shared" si="332"/>
        <v>0.88880174291939007</v>
      </c>
      <c r="V203" s="221">
        <f t="shared" si="333"/>
        <v>2.2220043572984749</v>
      </c>
      <c r="W203" s="221">
        <f t="shared" si="334"/>
        <v>1.3615222777564187</v>
      </c>
      <c r="X203" s="201">
        <f t="shared" si="335"/>
        <v>350</v>
      </c>
      <c r="Y203" s="451">
        <f t="shared" si="303"/>
        <v>279.0547139283874</v>
      </c>
      <c r="AA203" s="221">
        <f t="shared" si="336"/>
        <v>0.70864090316977857</v>
      </c>
      <c r="AB203" s="177">
        <f t="shared" si="337"/>
        <v>1.0855405992184108</v>
      </c>
      <c r="AC203" s="177">
        <f t="shared" si="338"/>
        <v>0.16154427883809541</v>
      </c>
      <c r="AD203" s="177"/>
      <c r="AE203" s="177">
        <f t="shared" si="339"/>
        <v>0.4595588235294118</v>
      </c>
      <c r="AF203" s="555">
        <f t="shared" si="340"/>
        <v>2248.5333333333338</v>
      </c>
      <c r="AG203" s="538">
        <f t="shared" si="341"/>
        <v>2.8952205882352939E-2</v>
      </c>
      <c r="AI203" s="177">
        <f t="shared" si="342"/>
        <v>0.76039087692731144</v>
      </c>
      <c r="AJ203" s="177">
        <f t="shared" si="343"/>
        <v>0.88880174291939007</v>
      </c>
      <c r="AK203" s="177">
        <f t="shared" si="344"/>
        <v>1.5925344952795935</v>
      </c>
      <c r="AM203" s="555">
        <f t="shared" si="345"/>
        <v>186.00000000000003</v>
      </c>
      <c r="AN203" s="469">
        <f t="shared" si="346"/>
        <v>279.0547139283874</v>
      </c>
      <c r="AP203">
        <f t="shared" si="347"/>
        <v>186.00000000000003</v>
      </c>
      <c r="AQ203">
        <f t="shared" si="348"/>
        <v>279.0547139283874</v>
      </c>
      <c r="AS203" s="5">
        <f t="shared" si="364"/>
        <v>3.5835266350548931</v>
      </c>
      <c r="AT203" s="5">
        <f t="shared" si="349"/>
        <v>2.2220043572984749</v>
      </c>
      <c r="AU203" s="5">
        <f t="shared" si="304"/>
        <v>1.3615222777564182</v>
      </c>
      <c r="AV203" s="5"/>
      <c r="AW203" s="177">
        <f t="shared" si="305"/>
        <v>0.62006079027355632</v>
      </c>
      <c r="AX203" s="177">
        <f t="shared" si="360"/>
        <v>3.306666666666668</v>
      </c>
      <c r="AY203" s="177">
        <f t="shared" si="361"/>
        <v>0.20261437908496729</v>
      </c>
      <c r="AZ203" s="177">
        <f t="shared" si="365"/>
        <v>16.320000000000007</v>
      </c>
      <c r="BA203" s="469">
        <f t="shared" si="350"/>
        <v>8.6504050333139713</v>
      </c>
      <c r="BB203" s="469">
        <f t="shared" si="351"/>
        <v>4.653142935</v>
      </c>
      <c r="BC203" s="5">
        <f t="shared" si="359"/>
        <v>0.23448439228027204</v>
      </c>
      <c r="BD203" s="469">
        <f t="shared" si="352"/>
        <v>38.344169431510196</v>
      </c>
      <c r="BF203" s="177">
        <f t="shared" si="366"/>
        <v>0.4040744634749876</v>
      </c>
      <c r="BG203" s="177">
        <f t="shared" si="362"/>
        <v>0.37956186665285435</v>
      </c>
      <c r="BI203" s="538">
        <f t="shared" si="306"/>
        <v>5.7146660211409676E-2</v>
      </c>
      <c r="BJ203" s="538">
        <f t="shared" si="307"/>
        <v>3.9168000000000008E-2</v>
      </c>
      <c r="BK203" s="538">
        <f t="shared" si="308"/>
        <v>3.4881839241048423E-3</v>
      </c>
      <c r="BL203" s="538">
        <f t="shared" si="309"/>
        <v>1.3918538322580646E-2</v>
      </c>
      <c r="BM203">
        <f t="shared" si="310"/>
        <v>3.48E-3</v>
      </c>
      <c r="BN203">
        <f t="shared" si="353"/>
        <v>4.8834574937467796E-6</v>
      </c>
      <c r="BO203" s="538">
        <f t="shared" si="354"/>
        <v>0.12625221267321629</v>
      </c>
      <c r="BP203" s="469">
        <f t="shared" si="311"/>
        <v>117.20138245809518</v>
      </c>
      <c r="BQ203" s="538">
        <f t="shared" si="355"/>
        <v>0.12608567445569371</v>
      </c>
      <c r="BT203" s="469">
        <f t="shared" si="312"/>
        <v>126.08567445569372</v>
      </c>
      <c r="BU203" s="538">
        <f t="shared" si="313"/>
        <v>1.6327617203259908E-2</v>
      </c>
      <c r="BV203" s="538">
        <f t="shared" si="314"/>
        <v>4.322016318509975E-3</v>
      </c>
      <c r="BW203" s="538">
        <f t="shared" si="315"/>
        <v>0</v>
      </c>
      <c r="BX203" s="538"/>
      <c r="BY203" s="538">
        <f t="shared" si="316"/>
        <v>1.1022222222222225E-2</v>
      </c>
      <c r="BZ203" s="469">
        <f t="shared" si="317"/>
        <v>31.671855743992111</v>
      </c>
      <c r="CA203" s="177">
        <f t="shared" si="318"/>
        <v>0.274958912657781</v>
      </c>
      <c r="CB203" s="5">
        <f t="shared" si="319"/>
        <v>2.9760000000000004</v>
      </c>
      <c r="CC203" s="177">
        <f t="shared" si="320"/>
        <v>0.91542221232411947</v>
      </c>
      <c r="CD203" s="5">
        <f t="shared" si="321"/>
        <v>91.542221232411947</v>
      </c>
      <c r="CG203" s="571">
        <f t="shared" si="356"/>
        <v>-50</v>
      </c>
      <c r="CH203">
        <f t="shared" si="357"/>
        <v>-50</v>
      </c>
    </row>
    <row r="204" spans="5:86" x14ac:dyDescent="0.25">
      <c r="E204" s="174">
        <v>94</v>
      </c>
      <c r="F204" s="221">
        <f t="shared" si="358"/>
        <v>0.188</v>
      </c>
      <c r="G204" s="221"/>
      <c r="H204" s="221">
        <f t="shared" si="322"/>
        <v>3.008</v>
      </c>
      <c r="I204" s="551">
        <f t="shared" si="323"/>
        <v>12</v>
      </c>
      <c r="J204" s="451">
        <f t="shared" si="324"/>
        <v>19.584</v>
      </c>
      <c r="K204" s="451">
        <f t="shared" si="325"/>
        <v>31.584</v>
      </c>
      <c r="L204" s="451"/>
      <c r="M204" s="221">
        <f t="shared" si="326"/>
        <v>0.62006079027355621</v>
      </c>
      <c r="N204" s="176">
        <f t="shared" si="327"/>
        <v>5.0626723404255323</v>
      </c>
      <c r="O204" s="176">
        <f t="shared" si="363"/>
        <v>3.008</v>
      </c>
      <c r="P204" s="221">
        <f t="shared" si="328"/>
        <v>0.31641702127659577</v>
      </c>
      <c r="Q204" s="221">
        <f t="shared" si="329"/>
        <v>16</v>
      </c>
      <c r="R204" s="221"/>
      <c r="S204" s="176">
        <f t="shared" si="330"/>
        <v>33.180626983282615</v>
      </c>
      <c r="T204" s="546">
        <f t="shared" si="331"/>
        <v>16</v>
      </c>
      <c r="U204" s="221">
        <f t="shared" si="332"/>
        <v>0.8983587509077704</v>
      </c>
      <c r="V204" s="221">
        <f t="shared" si="333"/>
        <v>2.2458968772694261</v>
      </c>
      <c r="W204" s="221">
        <f t="shared" si="334"/>
        <v>1.3761623022484228</v>
      </c>
      <c r="X204" s="201">
        <f t="shared" si="335"/>
        <v>350</v>
      </c>
      <c r="Y204" s="451">
        <f t="shared" si="303"/>
        <v>276.0860467589365</v>
      </c>
      <c r="AA204" s="221">
        <f t="shared" si="336"/>
        <v>0.70864090316977857</v>
      </c>
      <c r="AB204" s="177">
        <f t="shared" si="337"/>
        <v>1.0855405992184108</v>
      </c>
      <c r="AC204" s="177">
        <f t="shared" si="338"/>
        <v>0.16154427883809541</v>
      </c>
      <c r="AD204" s="177"/>
      <c r="AE204" s="177">
        <f t="shared" si="339"/>
        <v>0.4595588235294118</v>
      </c>
      <c r="AF204" s="555">
        <f t="shared" si="340"/>
        <v>2272.7111111111117</v>
      </c>
      <c r="AG204" s="538">
        <f t="shared" si="341"/>
        <v>2.8952205882352939E-2</v>
      </c>
      <c r="AI204" s="177">
        <f t="shared" si="342"/>
        <v>0.76446806903325171</v>
      </c>
      <c r="AJ204" s="177">
        <f t="shared" si="343"/>
        <v>0.8983587509077704</v>
      </c>
      <c r="AK204" s="177">
        <f t="shared" si="344"/>
        <v>1.5989058339385136</v>
      </c>
      <c r="AM204" s="555">
        <f t="shared" si="345"/>
        <v>188</v>
      </c>
      <c r="AN204" s="469">
        <f t="shared" si="346"/>
        <v>276.0860467589365</v>
      </c>
      <c r="AP204">
        <f t="shared" si="347"/>
        <v>188</v>
      </c>
      <c r="AQ204">
        <f t="shared" si="348"/>
        <v>276.0860467589365</v>
      </c>
      <c r="AS204" s="5">
        <f t="shared" si="364"/>
        <v>3.6220591795178487</v>
      </c>
      <c r="AT204" s="5">
        <f t="shared" si="349"/>
        <v>2.2458968772694261</v>
      </c>
      <c r="AU204" s="5">
        <f t="shared" si="304"/>
        <v>1.3761623022484226</v>
      </c>
      <c r="AV204" s="5"/>
      <c r="AW204" s="177">
        <f t="shared" si="305"/>
        <v>0.62006079027355632</v>
      </c>
      <c r="AX204" s="177">
        <f t="shared" si="360"/>
        <v>3.3422222222222215</v>
      </c>
      <c r="AY204" s="177">
        <f t="shared" si="361"/>
        <v>0.20479302832244003</v>
      </c>
      <c r="AZ204" s="177">
        <f t="shared" si="365"/>
        <v>16.32</v>
      </c>
      <c r="BA204" s="469">
        <f t="shared" si="350"/>
        <v>8.6504050333139713</v>
      </c>
      <c r="BB204" s="469">
        <f t="shared" si="351"/>
        <v>4.7476840066666659</v>
      </c>
      <c r="BC204" s="5">
        <f t="shared" si="359"/>
        <v>0.2395541785395402</v>
      </c>
      <c r="BD204" s="469">
        <f t="shared" si="352"/>
        <v>39.164224121881986</v>
      </c>
      <c r="BF204" s="177">
        <f t="shared" si="366"/>
        <v>0.40841935017901965</v>
      </c>
      <c r="BG204" s="177">
        <f t="shared" si="362"/>
        <v>0.38364317704697098</v>
      </c>
      <c r="BI204" s="538">
        <f t="shared" si="306"/>
        <v>5.8382227960228433E-2</v>
      </c>
      <c r="BJ204" s="538">
        <f t="shared" si="307"/>
        <v>3.9167999999999994E-2</v>
      </c>
      <c r="BK204" s="538">
        <f t="shared" si="308"/>
        <v>3.4510755844867061E-3</v>
      </c>
      <c r="BL204" s="538">
        <f t="shared" si="309"/>
        <v>1.3770468765957449E-2</v>
      </c>
      <c r="BM204">
        <f t="shared" si="310"/>
        <v>3.48E-3</v>
      </c>
      <c r="BN204">
        <f t="shared" si="353"/>
        <v>4.8315058182813894E-6</v>
      </c>
      <c r="BO204" s="538">
        <f t="shared" si="354"/>
        <v>0.12751169954802907</v>
      </c>
      <c r="BP204" s="469">
        <f t="shared" si="311"/>
        <v>118.25177231067258</v>
      </c>
      <c r="BQ204" s="538">
        <f t="shared" si="355"/>
        <v>0.12803955734657294</v>
      </c>
      <c r="BT204" s="469">
        <f t="shared" si="312"/>
        <v>128.03955734657293</v>
      </c>
      <c r="BU204" s="538">
        <f t="shared" si="313"/>
        <v>1.6680636560065267E-2</v>
      </c>
      <c r="BV204" s="538">
        <f t="shared" si="314"/>
        <v>4.4154626188408061E-3</v>
      </c>
      <c r="BW204" s="538">
        <f t="shared" si="315"/>
        <v>0</v>
      </c>
      <c r="BX204" s="538"/>
      <c r="BY204" s="538">
        <f t="shared" si="316"/>
        <v>1.1140740740740741E-2</v>
      </c>
      <c r="BZ204" s="469">
        <f t="shared" si="317"/>
        <v>32.236839919646812</v>
      </c>
      <c r="CA204" s="177">
        <f t="shared" si="318"/>
        <v>0.2785281695768923</v>
      </c>
      <c r="CB204" s="5">
        <f t="shared" si="319"/>
        <v>3.008</v>
      </c>
      <c r="CC204" s="177">
        <f t="shared" si="320"/>
        <v>0.91525154959716959</v>
      </c>
      <c r="CD204" s="5">
        <f t="shared" si="321"/>
        <v>91.525154959716957</v>
      </c>
      <c r="CG204" s="571">
        <f t="shared" si="356"/>
        <v>-50</v>
      </c>
      <c r="CH204">
        <f t="shared" si="357"/>
        <v>-50</v>
      </c>
    </row>
    <row r="205" spans="5:86" x14ac:dyDescent="0.25">
      <c r="E205" s="174">
        <v>95</v>
      </c>
      <c r="F205" s="221">
        <f t="shared" si="358"/>
        <v>0.19</v>
      </c>
      <c r="G205" s="221"/>
      <c r="H205" s="221">
        <f t="shared" si="322"/>
        <v>3.04</v>
      </c>
      <c r="I205" s="551">
        <f t="shared" si="323"/>
        <v>12</v>
      </c>
      <c r="J205" s="451">
        <f t="shared" si="324"/>
        <v>19.584</v>
      </c>
      <c r="K205" s="451">
        <f t="shared" si="325"/>
        <v>31.584</v>
      </c>
      <c r="L205" s="451"/>
      <c r="M205" s="221">
        <f t="shared" si="326"/>
        <v>0.62006079027355621</v>
      </c>
      <c r="N205" s="176">
        <f t="shared" si="327"/>
        <v>5.0626723404255323</v>
      </c>
      <c r="O205" s="176">
        <f t="shared" si="363"/>
        <v>3.04</v>
      </c>
      <c r="P205" s="221">
        <f t="shared" si="328"/>
        <v>0.31641702127659577</v>
      </c>
      <c r="Q205" s="221">
        <f t="shared" si="329"/>
        <v>16</v>
      </c>
      <c r="R205" s="221"/>
      <c r="S205" s="176">
        <f t="shared" si="330"/>
        <v>32.728406611033506</v>
      </c>
      <c r="T205" s="546">
        <f t="shared" si="331"/>
        <v>16</v>
      </c>
      <c r="U205" s="221">
        <f t="shared" si="332"/>
        <v>0.90791575889615095</v>
      </c>
      <c r="V205" s="221">
        <f t="shared" si="333"/>
        <v>2.2697893972403778</v>
      </c>
      <c r="W205" s="221">
        <f t="shared" si="334"/>
        <v>1.3908023267404273</v>
      </c>
      <c r="X205" s="201">
        <f t="shared" si="335"/>
        <v>350</v>
      </c>
      <c r="Y205" s="451">
        <f t="shared" si="303"/>
        <v>273.17987784568447</v>
      </c>
      <c r="AA205" s="221">
        <f t="shared" si="336"/>
        <v>0.70864090316977857</v>
      </c>
      <c r="AB205" s="177">
        <f t="shared" si="337"/>
        <v>1.0855405992184108</v>
      </c>
      <c r="AC205" s="177">
        <f t="shared" si="338"/>
        <v>0.16154427883809541</v>
      </c>
      <c r="AD205" s="177"/>
      <c r="AE205" s="177">
        <f t="shared" si="339"/>
        <v>0.4595588235294118</v>
      </c>
      <c r="AF205" s="555">
        <f t="shared" si="340"/>
        <v>2296.8888888888891</v>
      </c>
      <c r="AG205" s="538">
        <f t="shared" si="341"/>
        <v>2.8952205882352939E-2</v>
      </c>
      <c r="AI205" s="177">
        <f t="shared" si="342"/>
        <v>0.76852363101505949</v>
      </c>
      <c r="AJ205" s="177">
        <f t="shared" si="343"/>
        <v>0.90791575889615095</v>
      </c>
      <c r="AK205" s="177">
        <f t="shared" si="344"/>
        <v>1.605277172597434</v>
      </c>
      <c r="AM205" s="555">
        <f t="shared" si="345"/>
        <v>190</v>
      </c>
      <c r="AN205" s="469">
        <f t="shared" si="346"/>
        <v>273.17987784568447</v>
      </c>
      <c r="AP205">
        <f t="shared" si="347"/>
        <v>190</v>
      </c>
      <c r="AQ205">
        <f t="shared" si="348"/>
        <v>273.17987784568447</v>
      </c>
      <c r="AS205" s="5">
        <f t="shared" si="364"/>
        <v>3.6605917239808052</v>
      </c>
      <c r="AT205" s="5">
        <f t="shared" si="349"/>
        <v>2.2697893972403778</v>
      </c>
      <c r="AU205" s="5">
        <f t="shared" si="304"/>
        <v>1.3908023267404275</v>
      </c>
      <c r="AV205" s="5"/>
      <c r="AW205" s="177">
        <f t="shared" si="305"/>
        <v>0.62006079027355621</v>
      </c>
      <c r="AX205" s="177">
        <f t="shared" si="360"/>
        <v>3.3777777777777769</v>
      </c>
      <c r="AY205" s="177">
        <f t="shared" si="361"/>
        <v>0.20697167755991286</v>
      </c>
      <c r="AZ205" s="177">
        <f t="shared" si="365"/>
        <v>16.319999999999997</v>
      </c>
      <c r="BA205" s="469">
        <f t="shared" si="350"/>
        <v>8.6504050333139713</v>
      </c>
      <c r="BB205" s="469">
        <f t="shared" si="351"/>
        <v>4.8431720416666666</v>
      </c>
      <c r="BC205" s="5">
        <f t="shared" si="359"/>
        <v>0.24467818711174186</v>
      </c>
      <c r="BD205" s="469">
        <f t="shared" si="352"/>
        <v>39.992954382323148</v>
      </c>
      <c r="BF205" s="177">
        <f t="shared" si="366"/>
        <v>0.41276423688305175</v>
      </c>
      <c r="BG205" s="177">
        <f t="shared" si="362"/>
        <v>0.38772448744108773</v>
      </c>
      <c r="BI205" s="538">
        <f t="shared" si="306"/>
        <v>5.9631010337376812E-2</v>
      </c>
      <c r="BJ205" s="538">
        <f t="shared" si="307"/>
        <v>3.9167999999999994E-2</v>
      </c>
      <c r="BK205" s="538">
        <f t="shared" si="308"/>
        <v>3.4147484730710554E-3</v>
      </c>
      <c r="BL205" s="538">
        <f t="shared" si="309"/>
        <v>1.3625516463157895E-2</v>
      </c>
      <c r="BM205">
        <f t="shared" si="310"/>
        <v>3.48E-3</v>
      </c>
      <c r="BN205">
        <f t="shared" si="353"/>
        <v>4.7806478622994784E-6</v>
      </c>
      <c r="BO205" s="538">
        <f t="shared" si="354"/>
        <v>0.12879119289923679</v>
      </c>
      <c r="BP205" s="469">
        <f t="shared" si="311"/>
        <v>119.31927527360575</v>
      </c>
      <c r="BQ205" s="538">
        <f t="shared" si="355"/>
        <v>0.1300061662576755</v>
      </c>
      <c r="BT205" s="469">
        <f t="shared" si="312"/>
        <v>130.00616625767549</v>
      </c>
      <c r="BU205" s="538">
        <f t="shared" si="313"/>
        <v>1.7037431524964806E-2</v>
      </c>
      <c r="BV205" s="538">
        <f t="shared" si="314"/>
        <v>4.5099083448436258E-3</v>
      </c>
      <c r="BW205" s="538">
        <f t="shared" si="315"/>
        <v>0</v>
      </c>
      <c r="BX205" s="538"/>
      <c r="BY205" s="538">
        <f t="shared" si="316"/>
        <v>1.1259259259259257E-2</v>
      </c>
      <c r="BZ205" s="469">
        <f t="shared" si="317"/>
        <v>32.806599129067692</v>
      </c>
      <c r="CA205" s="177">
        <f t="shared" si="318"/>
        <v>0.28213204066034892</v>
      </c>
      <c r="CB205" s="5">
        <f t="shared" si="319"/>
        <v>3.04</v>
      </c>
      <c r="CC205" s="177">
        <f t="shared" si="320"/>
        <v>0.91507500689097576</v>
      </c>
      <c r="CD205" s="5">
        <f t="shared" si="321"/>
        <v>91.507500689097583</v>
      </c>
      <c r="CG205" s="571">
        <f t="shared" si="356"/>
        <v>-50</v>
      </c>
      <c r="CH205">
        <f t="shared" si="357"/>
        <v>-50</v>
      </c>
    </row>
    <row r="206" spans="5:86" x14ac:dyDescent="0.25">
      <c r="E206" s="174">
        <v>96</v>
      </c>
      <c r="F206" s="221">
        <f t="shared" si="358"/>
        <v>0.192</v>
      </c>
      <c r="G206" s="221"/>
      <c r="H206" s="221">
        <f t="shared" ref="H206:H210" si="367">F206*Vout</f>
        <v>3.0720000000000001</v>
      </c>
      <c r="I206" s="551">
        <f t="shared" si="323"/>
        <v>12</v>
      </c>
      <c r="J206" s="451">
        <f t="shared" si="324"/>
        <v>19.584</v>
      </c>
      <c r="K206" s="451">
        <f t="shared" si="325"/>
        <v>31.584</v>
      </c>
      <c r="L206" s="451"/>
      <c r="M206" s="221">
        <f t="shared" si="326"/>
        <v>0.62006079027355621</v>
      </c>
      <c r="N206" s="176">
        <f t="shared" ref="N206:N210" si="368">M206*I206*(Isw_max+VIN_min/Lmag*ILIM_delay)*0.5*Efficiency</f>
        <v>5.0626723404255323</v>
      </c>
      <c r="O206" s="176">
        <f t="shared" si="363"/>
        <v>3.0720000000000001</v>
      </c>
      <c r="P206" s="221">
        <f t="shared" ref="P206:P210" si="369">N206/Vout</f>
        <v>0.31641702127659577</v>
      </c>
      <c r="Q206" s="221">
        <f t="shared" si="329"/>
        <v>16</v>
      </c>
      <c r="R206" s="221"/>
      <c r="S206" s="176">
        <f t="shared" si="330"/>
        <v>32.285642522350436</v>
      </c>
      <c r="T206" s="546">
        <f t="shared" ref="T206:T210" si="370">MIN(Vout, S206)</f>
        <v>16</v>
      </c>
      <c r="U206" s="221">
        <f t="shared" si="332"/>
        <v>0.9174727668845315</v>
      </c>
      <c r="V206" s="221">
        <f t="shared" ref="V206:V210" si="371">L*U206/I206*1000000</f>
        <v>2.293681917211329</v>
      </c>
      <c r="W206" s="221">
        <f t="shared" si="334"/>
        <v>1.4054423512324319</v>
      </c>
      <c r="X206" s="201">
        <f t="shared" si="335"/>
        <v>350</v>
      </c>
      <c r="Y206" s="451">
        <f t="shared" si="303"/>
        <v>270.33425411812527</v>
      </c>
      <c r="AA206" s="221">
        <f t="shared" si="336"/>
        <v>0.70864090316977857</v>
      </c>
      <c r="AB206" s="177">
        <f t="shared" ref="AB206:AB210" si="372">L*AA206/J206*1000000</f>
        <v>1.0855405992184108</v>
      </c>
      <c r="AC206" s="177">
        <f t="shared" ref="AC206:AC210" si="373">0.5*AB206*AA206*Nps*X206/1000</f>
        <v>0.16154427883809541</v>
      </c>
      <c r="AD206" s="177"/>
      <c r="AE206" s="177">
        <f t="shared" si="339"/>
        <v>0.4595588235294118</v>
      </c>
      <c r="AF206" s="555">
        <f t="shared" ref="AF206:AF210" si="374">MAX(12000,F206/(0.5*AE206/1000000*Isw_min*Nps))/1000</f>
        <v>2321.0666666666671</v>
      </c>
      <c r="AG206" s="538">
        <f t="shared" si="341"/>
        <v>2.8952205882352939E-2</v>
      </c>
      <c r="AI206" s="177">
        <f t="shared" si="342"/>
        <v>0.77255790351643816</v>
      </c>
      <c r="AJ206" s="177">
        <f t="shared" ref="AJ206:AJ210" si="375">MAX(IF(F206&gt;AC206,U206,AI206),Isw_min)</f>
        <v>0.9174727668845315</v>
      </c>
      <c r="AK206" s="177">
        <f t="shared" ref="AK206:AK210" si="376">IF(F206&gt;AG206, (AJ206-Isw_min)/1.2*0.8+1.2, AF206*0.2/350+1)</f>
        <v>1.6116485112563543</v>
      </c>
      <c r="AM206" s="555">
        <f t="shared" si="345"/>
        <v>192</v>
      </c>
      <c r="AN206" s="469">
        <f t="shared" si="346"/>
        <v>270.33425411812527</v>
      </c>
      <c r="AP206">
        <f t="shared" si="347"/>
        <v>192</v>
      </c>
      <c r="AQ206">
        <f t="shared" si="348"/>
        <v>270.33425411812527</v>
      </c>
      <c r="AS206" s="5">
        <f t="shared" si="364"/>
        <v>3.6991242684437613</v>
      </c>
      <c r="AT206" s="5">
        <f t="shared" si="349"/>
        <v>2.293681917211329</v>
      </c>
      <c r="AU206" s="5">
        <f t="shared" si="304"/>
        <v>1.4054423512324323</v>
      </c>
      <c r="AV206" s="5"/>
      <c r="AW206" s="177">
        <f t="shared" si="305"/>
        <v>0.62006079027355621</v>
      </c>
      <c r="AX206" s="177">
        <f t="shared" si="360"/>
        <v>3.4133333333333327</v>
      </c>
      <c r="AY206" s="177">
        <f t="shared" si="361"/>
        <v>0.20915032679738563</v>
      </c>
      <c r="AZ206" s="177">
        <f t="shared" si="365"/>
        <v>16.319999999999997</v>
      </c>
      <c r="BA206" s="469">
        <f t="shared" si="350"/>
        <v>8.6504050333139713</v>
      </c>
      <c r="BB206" s="469">
        <f t="shared" si="351"/>
        <v>4.9396070399999985</v>
      </c>
      <c r="BC206" s="5">
        <f t="shared" si="359"/>
        <v>0.24985641799687686</v>
      </c>
      <c r="BD206" s="469">
        <f t="shared" si="352"/>
        <v>40.830360212833632</v>
      </c>
      <c r="BF206" s="177">
        <f t="shared" si="366"/>
        <v>0.41710912358708391</v>
      </c>
      <c r="BG206" s="177">
        <f t="shared" si="362"/>
        <v>0.39180579783520442</v>
      </c>
      <c r="BI206" s="538">
        <f t="shared" si="306"/>
        <v>6.0893007342854827E-2</v>
      </c>
      <c r="BJ206" s="538">
        <f t="shared" si="307"/>
        <v>3.9167999999999994E-2</v>
      </c>
      <c r="BK206" s="538">
        <f t="shared" si="308"/>
        <v>3.379178176476566E-3</v>
      </c>
      <c r="BL206" s="538">
        <f t="shared" si="309"/>
        <v>1.3483584E-2</v>
      </c>
      <c r="BM206">
        <f t="shared" si="310"/>
        <v>3.48E-3</v>
      </c>
      <c r="BN206">
        <f t="shared" si="353"/>
        <v>4.7308494470671926E-6</v>
      </c>
      <c r="BO206" s="538">
        <f t="shared" ref="BO206:BO210" si="377">(BJ206+BK206+BL206+BM206+BN206+BI206*(1+RdsonTC*(Ta-25)))/(1-BI206*RdsonTC*ThetaJA)</f>
        <v>0.13009059293100664</v>
      </c>
      <c r="BP206" s="469">
        <f t="shared" si="311"/>
        <v>120.40376951933139</v>
      </c>
      <c r="BQ206" s="538">
        <f t="shared" si="355"/>
        <v>0.13198550118900138</v>
      </c>
      <c r="BT206" s="469">
        <f t="shared" si="312"/>
        <v>131.98550118900138</v>
      </c>
      <c r="BU206" s="538">
        <f t="shared" si="313"/>
        <v>1.7398002097958522E-2</v>
      </c>
      <c r="BV206" s="538">
        <f t="shared" si="314"/>
        <v>4.6053534965184318E-3</v>
      </c>
      <c r="BW206" s="538">
        <f t="shared" si="315"/>
        <v>0</v>
      </c>
      <c r="BX206" s="538"/>
      <c r="BY206" s="538">
        <f t="shared" si="316"/>
        <v>1.1377777777777773E-2</v>
      </c>
      <c r="BZ206" s="469">
        <f t="shared" si="317"/>
        <v>33.38113337225473</v>
      </c>
      <c r="CA206" s="177">
        <f t="shared" si="318"/>
        <v>0.28577040408058746</v>
      </c>
      <c r="CB206" s="5">
        <f t="shared" si="319"/>
        <v>3.0720000000000001</v>
      </c>
      <c r="CC206" s="177">
        <f t="shared" si="320"/>
        <v>0.91489280990347044</v>
      </c>
      <c r="CD206" s="5">
        <f t="shared" si="321"/>
        <v>91.489280990347041</v>
      </c>
      <c r="CG206" s="571">
        <f t="shared" si="356"/>
        <v>-50</v>
      </c>
      <c r="CH206">
        <f t="shared" si="357"/>
        <v>-50</v>
      </c>
    </row>
    <row r="207" spans="5:86" x14ac:dyDescent="0.25">
      <c r="E207" s="174">
        <v>97</v>
      </c>
      <c r="F207" s="221">
        <f t="shared" ref="F207:F210" si="378">IF(PLOT_TYPE=1, E207/100*Iout_max, min_I*EXP(N207*rr/100))</f>
        <v>0.19400000000000001</v>
      </c>
      <c r="G207" s="221"/>
      <c r="H207" s="221">
        <f t="shared" si="367"/>
        <v>3.1040000000000001</v>
      </c>
      <c r="I207" s="551">
        <f t="shared" si="323"/>
        <v>12</v>
      </c>
      <c r="J207" s="451">
        <f t="shared" si="324"/>
        <v>19.584</v>
      </c>
      <c r="K207" s="451">
        <f t="shared" si="325"/>
        <v>31.584</v>
      </c>
      <c r="L207" s="451"/>
      <c r="M207" s="221">
        <f t="shared" si="326"/>
        <v>0.62006079027355621</v>
      </c>
      <c r="N207" s="176">
        <f t="shared" si="368"/>
        <v>5.0626723404255323</v>
      </c>
      <c r="O207" s="176">
        <f t="shared" si="363"/>
        <v>3.1040000000000001</v>
      </c>
      <c r="P207" s="221">
        <f t="shared" si="369"/>
        <v>0.31641702127659577</v>
      </c>
      <c r="Q207" s="221">
        <f t="shared" si="329"/>
        <v>16</v>
      </c>
      <c r="R207" s="221"/>
      <c r="S207" s="176">
        <f t="shared" si="330"/>
        <v>31.85204256161791</v>
      </c>
      <c r="T207" s="546">
        <f t="shared" si="370"/>
        <v>16</v>
      </c>
      <c r="U207" s="221">
        <f t="shared" si="332"/>
        <v>0.92702977487291205</v>
      </c>
      <c r="V207" s="221">
        <f t="shared" si="371"/>
        <v>2.3175744371822802</v>
      </c>
      <c r="W207" s="221">
        <f t="shared" si="334"/>
        <v>1.4200823757244363</v>
      </c>
      <c r="X207" s="201">
        <f t="shared" si="335"/>
        <v>350</v>
      </c>
      <c r="Y207" s="451">
        <f t="shared" si="303"/>
        <v>267.54730304474253</v>
      </c>
      <c r="AA207" s="221">
        <f t="shared" si="336"/>
        <v>0.70864090316977857</v>
      </c>
      <c r="AB207" s="177">
        <f t="shared" si="372"/>
        <v>1.0855405992184108</v>
      </c>
      <c r="AC207" s="177">
        <f t="shared" si="373"/>
        <v>0.16154427883809541</v>
      </c>
      <c r="AD207" s="177"/>
      <c r="AE207" s="177">
        <f t="shared" si="339"/>
        <v>0.4595588235294118</v>
      </c>
      <c r="AF207" s="555">
        <f t="shared" si="374"/>
        <v>2345.2444444444445</v>
      </c>
      <c r="AG207" s="538">
        <f t="shared" si="341"/>
        <v>2.8952205882352939E-2</v>
      </c>
      <c r="AI207" s="177">
        <f t="shared" si="342"/>
        <v>0.77657121833277931</v>
      </c>
      <c r="AJ207" s="177">
        <f t="shared" si="375"/>
        <v>0.92702977487291205</v>
      </c>
      <c r="AK207" s="177">
        <f t="shared" si="376"/>
        <v>1.6180198499152747</v>
      </c>
      <c r="AM207" s="555">
        <f t="shared" si="345"/>
        <v>194</v>
      </c>
      <c r="AN207" s="469">
        <f t="shared" si="346"/>
        <v>267.54730304474253</v>
      </c>
      <c r="AP207">
        <f t="shared" si="347"/>
        <v>194</v>
      </c>
      <c r="AQ207">
        <f t="shared" si="348"/>
        <v>267.54730304474253</v>
      </c>
      <c r="AS207" s="5">
        <f t="shared" si="364"/>
        <v>3.7376568129067169</v>
      </c>
      <c r="AT207" s="5">
        <f t="shared" si="349"/>
        <v>2.3175744371822802</v>
      </c>
      <c r="AU207" s="5">
        <f t="shared" si="304"/>
        <v>1.4200823757244367</v>
      </c>
      <c r="AV207" s="5"/>
      <c r="AW207" s="177">
        <f t="shared" si="305"/>
        <v>0.62006079027355621</v>
      </c>
      <c r="AX207" s="177">
        <f t="shared" si="360"/>
        <v>3.4488888888888884</v>
      </c>
      <c r="AY207" s="177">
        <f t="shared" si="361"/>
        <v>0.2113289760348584</v>
      </c>
      <c r="AZ207" s="177">
        <f t="shared" si="365"/>
        <v>16.319999999999997</v>
      </c>
      <c r="BA207" s="469">
        <f t="shared" si="350"/>
        <v>8.6504050333139713</v>
      </c>
      <c r="BB207" s="469">
        <f t="shared" si="351"/>
        <v>5.0369890016666661</v>
      </c>
      <c r="BC207" s="5">
        <f t="shared" si="359"/>
        <v>0.25508887119494505</v>
      </c>
      <c r="BD207" s="469">
        <f t="shared" si="352"/>
        <v>41.676441613413438</v>
      </c>
      <c r="BF207" s="177">
        <f t="shared" si="366"/>
        <v>0.42145401029111601</v>
      </c>
      <c r="BG207" s="177">
        <f t="shared" si="362"/>
        <v>0.39588710822932116</v>
      </c>
      <c r="BI207" s="538">
        <f t="shared" si="306"/>
        <v>6.2168218976662436E-2</v>
      </c>
      <c r="BJ207" s="538">
        <f t="shared" si="307"/>
        <v>3.9167999999999994E-2</v>
      </c>
      <c r="BK207" s="538">
        <f t="shared" si="308"/>
        <v>3.3443412880592815E-3</v>
      </c>
      <c r="BL207" s="538">
        <f t="shared" si="309"/>
        <v>1.3344577979381444E-2</v>
      </c>
      <c r="BM207">
        <f t="shared" si="310"/>
        <v>3.48E-3</v>
      </c>
      <c r="BN207">
        <f t="shared" si="353"/>
        <v>4.6820778032829951E-6</v>
      </c>
      <c r="BO207" s="538">
        <f t="shared" si="377"/>
        <v>0.13140980513209483</v>
      </c>
      <c r="BP207" s="469">
        <f t="shared" si="311"/>
        <v>121.50513824410315</v>
      </c>
      <c r="BQ207" s="538">
        <f t="shared" si="355"/>
        <v>0.13397756214055057</v>
      </c>
      <c r="BT207" s="469">
        <f t="shared" si="312"/>
        <v>133.97756214055056</v>
      </c>
      <c r="BU207" s="538">
        <f t="shared" si="313"/>
        <v>1.7762348279046412E-2</v>
      </c>
      <c r="BV207" s="538">
        <f t="shared" si="314"/>
        <v>4.7017980738652265E-3</v>
      </c>
      <c r="BW207" s="538">
        <f t="shared" si="315"/>
        <v>0</v>
      </c>
      <c r="BX207" s="538"/>
      <c r="BY207" s="538">
        <f t="shared" si="316"/>
        <v>1.1496296296296294E-2</v>
      </c>
      <c r="BZ207" s="469">
        <f t="shared" si="317"/>
        <v>33.960442649207934</v>
      </c>
      <c r="CA207" s="177">
        <f t="shared" si="318"/>
        <v>0.28944314303386165</v>
      </c>
      <c r="CB207" s="5">
        <f t="shared" si="319"/>
        <v>3.1040000000000001</v>
      </c>
      <c r="CC207" s="177">
        <f t="shared" si="320"/>
        <v>0.91470517382086181</v>
      </c>
      <c r="CD207" s="5">
        <f t="shared" si="321"/>
        <v>91.470517382086186</v>
      </c>
      <c r="CG207" s="571">
        <f t="shared" si="356"/>
        <v>-50</v>
      </c>
      <c r="CH207">
        <f t="shared" si="357"/>
        <v>-50</v>
      </c>
    </row>
    <row r="208" spans="5:86" x14ac:dyDescent="0.25">
      <c r="E208" s="174">
        <v>98</v>
      </c>
      <c r="F208" s="221">
        <f t="shared" si="378"/>
        <v>0.19600000000000001</v>
      </c>
      <c r="G208" s="221"/>
      <c r="H208" s="221">
        <f t="shared" si="367"/>
        <v>3.1360000000000001</v>
      </c>
      <c r="I208" s="551">
        <f t="shared" si="323"/>
        <v>12</v>
      </c>
      <c r="J208" s="451">
        <f t="shared" si="324"/>
        <v>19.584</v>
      </c>
      <c r="K208" s="451">
        <f t="shared" si="325"/>
        <v>31.584</v>
      </c>
      <c r="L208" s="451"/>
      <c r="M208" s="221">
        <f t="shared" si="326"/>
        <v>0.62006079027355621</v>
      </c>
      <c r="N208" s="176">
        <f t="shared" si="368"/>
        <v>5.0626723404255323</v>
      </c>
      <c r="O208" s="176">
        <f t="shared" si="363"/>
        <v>3.1360000000000001</v>
      </c>
      <c r="P208" s="221">
        <f t="shared" si="369"/>
        <v>0.31641702127659577</v>
      </c>
      <c r="Q208" s="221">
        <f t="shared" si="329"/>
        <v>16</v>
      </c>
      <c r="R208" s="221"/>
      <c r="S208" s="176">
        <f t="shared" si="330"/>
        <v>31.427326501305611</v>
      </c>
      <c r="T208" s="546">
        <f t="shared" si="370"/>
        <v>16</v>
      </c>
      <c r="U208" s="221">
        <f t="shared" si="332"/>
        <v>0.9365867828612926</v>
      </c>
      <c r="V208" s="221">
        <f t="shared" si="371"/>
        <v>2.3414669571532314</v>
      </c>
      <c r="W208" s="221">
        <f t="shared" si="334"/>
        <v>1.4347224002164407</v>
      </c>
      <c r="X208" s="201">
        <f t="shared" si="335"/>
        <v>350</v>
      </c>
      <c r="Y208" s="451">
        <f t="shared" si="303"/>
        <v>264.81722852387793</v>
      </c>
      <c r="AA208" s="221">
        <f t="shared" si="336"/>
        <v>0.70864090316977857</v>
      </c>
      <c r="AB208" s="177">
        <f t="shared" si="372"/>
        <v>1.0855405992184108</v>
      </c>
      <c r="AC208" s="177">
        <f t="shared" si="373"/>
        <v>0.16154427883809541</v>
      </c>
      <c r="AD208" s="177"/>
      <c r="AE208" s="177">
        <f t="shared" si="339"/>
        <v>0.4595588235294118</v>
      </c>
      <c r="AF208" s="555">
        <f t="shared" si="374"/>
        <v>2369.4222222222224</v>
      </c>
      <c r="AG208" s="538">
        <f t="shared" si="341"/>
        <v>2.8952205882352939E-2</v>
      </c>
      <c r="AI208" s="177">
        <f t="shared" si="342"/>
        <v>0.78056389872962995</v>
      </c>
      <c r="AJ208" s="177">
        <f t="shared" si="375"/>
        <v>0.9365867828612926</v>
      </c>
      <c r="AK208" s="177">
        <f t="shared" si="376"/>
        <v>1.6243911885741951</v>
      </c>
      <c r="AM208" s="555">
        <f t="shared" si="345"/>
        <v>196</v>
      </c>
      <c r="AN208" s="469">
        <f t="shared" si="346"/>
        <v>264.81722852387793</v>
      </c>
      <c r="AP208">
        <f t="shared" si="347"/>
        <v>196</v>
      </c>
      <c r="AQ208">
        <f t="shared" si="348"/>
        <v>264.81722852387793</v>
      </c>
      <c r="AS208" s="5">
        <f t="shared" si="364"/>
        <v>3.7761893573696712</v>
      </c>
      <c r="AT208" s="5">
        <f t="shared" si="349"/>
        <v>2.3414669571532314</v>
      </c>
      <c r="AU208" s="5">
        <f t="shared" si="304"/>
        <v>1.4347224002164398</v>
      </c>
      <c r="AV208" s="5"/>
      <c r="AW208" s="177">
        <f t="shared" si="305"/>
        <v>0.62006079027355643</v>
      </c>
      <c r="AX208" s="177">
        <f t="shared" si="360"/>
        <v>3.4844444444444456</v>
      </c>
      <c r="AY208" s="177">
        <f t="shared" si="361"/>
        <v>0.21350762527233103</v>
      </c>
      <c r="AZ208" s="177">
        <f t="shared" si="365"/>
        <v>16.320000000000014</v>
      </c>
      <c r="BA208" s="469">
        <f t="shared" si="350"/>
        <v>8.6504050333139713</v>
      </c>
      <c r="BB208" s="469">
        <f t="shared" si="351"/>
        <v>5.1353179266666666</v>
      </c>
      <c r="BC208" s="5">
        <f t="shared" si="359"/>
        <v>0.26037554670594648</v>
      </c>
      <c r="BD208" s="469">
        <f t="shared" si="352"/>
        <v>42.531198584062551</v>
      </c>
      <c r="BF208" s="177">
        <f t="shared" si="366"/>
        <v>0.42579889699514822</v>
      </c>
      <c r="BG208" s="177">
        <f t="shared" si="362"/>
        <v>0.39996841862343774</v>
      </c>
      <c r="BI208" s="538">
        <f t="shared" si="306"/>
        <v>6.3456645238799694E-2</v>
      </c>
      <c r="BJ208" s="538">
        <f t="shared" si="307"/>
        <v>3.9168000000000008E-2</v>
      </c>
      <c r="BK208" s="538">
        <f t="shared" si="308"/>
        <v>3.3102153565484739E-3</v>
      </c>
      <c r="BL208" s="538">
        <f t="shared" si="309"/>
        <v>1.3208408816326537E-2</v>
      </c>
      <c r="BM208">
        <f t="shared" si="310"/>
        <v>3.48E-3</v>
      </c>
      <c r="BN208">
        <f t="shared" si="353"/>
        <v>4.6343014991678644E-6</v>
      </c>
      <c r="BO208" s="538">
        <f t="shared" si="377"/>
        <v>0.132748740020314</v>
      </c>
      <c r="BP208" s="469">
        <f t="shared" si="311"/>
        <v>122.62326941167471</v>
      </c>
      <c r="BQ208" s="538">
        <f t="shared" si="355"/>
        <v>0.13598234911232304</v>
      </c>
      <c r="BT208" s="469">
        <f t="shared" si="312"/>
        <v>135.98234911232305</v>
      </c>
      <c r="BU208" s="538">
        <f t="shared" si="313"/>
        <v>1.8130470068228485E-2</v>
      </c>
      <c r="BV208" s="538">
        <f t="shared" si="314"/>
        <v>4.7992420768840057E-3</v>
      </c>
      <c r="BW208" s="538">
        <f t="shared" si="315"/>
        <v>0</v>
      </c>
      <c r="BX208" s="538"/>
      <c r="BY208" s="538">
        <f t="shared" si="316"/>
        <v>1.1614814814814819E-2</v>
      </c>
      <c r="BZ208" s="469">
        <f t="shared" si="317"/>
        <v>34.54452695992731</v>
      </c>
      <c r="CA208" s="177">
        <f t="shared" si="318"/>
        <v>0.29315014548392504</v>
      </c>
      <c r="CB208" s="5">
        <f t="shared" si="319"/>
        <v>3.1360000000000001</v>
      </c>
      <c r="CC208" s="177">
        <f t="shared" si="320"/>
        <v>0.91451230391005367</v>
      </c>
      <c r="CD208" s="5">
        <f t="shared" si="321"/>
        <v>91.451230391005367</v>
      </c>
      <c r="CG208" s="571">
        <f t="shared" si="356"/>
        <v>-50</v>
      </c>
      <c r="CH208">
        <f t="shared" si="357"/>
        <v>-50</v>
      </c>
    </row>
    <row r="209" spans="5:88" x14ac:dyDescent="0.25">
      <c r="E209" s="174">
        <v>99</v>
      </c>
      <c r="F209" s="221">
        <f t="shared" si="378"/>
        <v>0.19800000000000001</v>
      </c>
      <c r="G209" s="221"/>
      <c r="H209" s="221">
        <f t="shared" si="367"/>
        <v>3.1680000000000001</v>
      </c>
      <c r="I209" s="551">
        <f t="shared" si="323"/>
        <v>12</v>
      </c>
      <c r="J209" s="451">
        <f t="shared" si="324"/>
        <v>19.584</v>
      </c>
      <c r="K209" s="451">
        <f t="shared" si="325"/>
        <v>31.584</v>
      </c>
      <c r="L209" s="451"/>
      <c r="M209" s="221">
        <f t="shared" si="326"/>
        <v>0.62006079027355621</v>
      </c>
      <c r="N209" s="176">
        <f t="shared" si="368"/>
        <v>5.0626723404255323</v>
      </c>
      <c r="O209" s="176">
        <f t="shared" si="363"/>
        <v>3.1680000000000001</v>
      </c>
      <c r="P209" s="221">
        <f t="shared" si="369"/>
        <v>0.31641702127659577</v>
      </c>
      <c r="Q209" s="221">
        <f t="shared" si="329"/>
        <v>16</v>
      </c>
      <c r="R209" s="221"/>
      <c r="S209" s="176">
        <f t="shared" si="330"/>
        <v>31.011225439582557</v>
      </c>
      <c r="T209" s="546">
        <f t="shared" si="370"/>
        <v>16</v>
      </c>
      <c r="U209" s="221">
        <f t="shared" si="332"/>
        <v>0.94614379084967315</v>
      </c>
      <c r="V209" s="221">
        <f t="shared" si="371"/>
        <v>2.3653594771241826</v>
      </c>
      <c r="W209" s="221">
        <f t="shared" si="334"/>
        <v>1.4493624247084453</v>
      </c>
      <c r="X209" s="201">
        <f t="shared" si="335"/>
        <v>350</v>
      </c>
      <c r="Y209" s="451">
        <f t="shared" si="303"/>
        <v>262.1423070236367</v>
      </c>
      <c r="AA209" s="221">
        <f t="shared" si="336"/>
        <v>0.70864090316977857</v>
      </c>
      <c r="AB209" s="177">
        <f t="shared" si="372"/>
        <v>1.0855405992184108</v>
      </c>
      <c r="AC209" s="177">
        <f t="shared" si="373"/>
        <v>0.16154427883809541</v>
      </c>
      <c r="AD209" s="177"/>
      <c r="AE209" s="177">
        <f t="shared" si="339"/>
        <v>0.4595588235294118</v>
      </c>
      <c r="AF209" s="555">
        <f t="shared" si="374"/>
        <v>2393.6000000000004</v>
      </c>
      <c r="AG209" s="538">
        <f t="shared" si="341"/>
        <v>2.8952205882352939E-2</v>
      </c>
      <c r="AI209" s="177">
        <f t="shared" si="342"/>
        <v>0.78453625974657337</v>
      </c>
      <c r="AJ209" s="177">
        <f t="shared" si="375"/>
        <v>0.94614379084967315</v>
      </c>
      <c r="AK209" s="177">
        <f t="shared" si="376"/>
        <v>1.6307625272331154</v>
      </c>
      <c r="AM209" s="555">
        <f t="shared" si="345"/>
        <v>198</v>
      </c>
      <c r="AN209" s="469">
        <f t="shared" si="346"/>
        <v>262.1423070236367</v>
      </c>
      <c r="AP209">
        <f t="shared" si="347"/>
        <v>198</v>
      </c>
      <c r="AQ209">
        <f t="shared" si="348"/>
        <v>262.1423070236367</v>
      </c>
      <c r="AS209" s="5">
        <f t="shared" si="364"/>
        <v>3.8147219018326277</v>
      </c>
      <c r="AT209" s="5">
        <f t="shared" si="349"/>
        <v>2.3653594771241826</v>
      </c>
      <c r="AU209" s="5">
        <f t="shared" si="304"/>
        <v>1.4493624247084451</v>
      </c>
      <c r="AV209" s="5"/>
      <c r="AW209" s="177">
        <f t="shared" si="305"/>
        <v>0.62006079027355621</v>
      </c>
      <c r="AX209" s="177">
        <f t="shared" si="360"/>
        <v>3.5200000000000005</v>
      </c>
      <c r="AY209" s="177">
        <f t="shared" si="361"/>
        <v>0.21568627450980393</v>
      </c>
      <c r="AZ209" s="177">
        <f t="shared" si="365"/>
        <v>16.32</v>
      </c>
      <c r="BA209" s="469">
        <f t="shared" si="350"/>
        <v>8.6504050333139713</v>
      </c>
      <c r="BB209" s="469">
        <f t="shared" si="351"/>
        <v>5.2345938150000002</v>
      </c>
      <c r="BC209" s="5">
        <f t="shared" si="359"/>
        <v>0.26571644452988158</v>
      </c>
      <c r="BD209" s="469">
        <f t="shared" si="352"/>
        <v>43.394631124781057</v>
      </c>
      <c r="BF209" s="177">
        <f t="shared" si="366"/>
        <v>0.43014378369918027</v>
      </c>
      <c r="BG209" s="177">
        <f t="shared" si="362"/>
        <v>0.40404972901755459</v>
      </c>
      <c r="BI209" s="538">
        <f t="shared" si="306"/>
        <v>6.4758286129266512E-2</v>
      </c>
      <c r="BJ209" s="538">
        <f t="shared" si="307"/>
        <v>3.9168000000000008E-2</v>
      </c>
      <c r="BK209" s="538">
        <f t="shared" si="308"/>
        <v>3.2767788377954586E-3</v>
      </c>
      <c r="BL209" s="538">
        <f t="shared" si="309"/>
        <v>1.3074990545454549E-2</v>
      </c>
      <c r="BM209">
        <f t="shared" si="310"/>
        <v>3.48E-3</v>
      </c>
      <c r="BN209">
        <f t="shared" si="353"/>
        <v>4.5874903729136427E-6</v>
      </c>
      <c r="BO209" s="538">
        <f t="shared" si="377"/>
        <v>0.13410731290254946</v>
      </c>
      <c r="BP209" s="469">
        <f t="shared" si="311"/>
        <v>123.75805551251652</v>
      </c>
      <c r="BQ209" s="538">
        <f t="shared" si="355"/>
        <v>0.13799986210431889</v>
      </c>
      <c r="BT209" s="469">
        <f t="shared" si="312"/>
        <v>137.99986210431888</v>
      </c>
      <c r="BU209" s="538">
        <f t="shared" si="313"/>
        <v>1.850236746550472E-2</v>
      </c>
      <c r="BV209" s="538">
        <f t="shared" si="314"/>
        <v>4.8976855055747788E-3</v>
      </c>
      <c r="BW209" s="538">
        <f t="shared" si="315"/>
        <v>0</v>
      </c>
      <c r="BX209" s="538"/>
      <c r="BY209" s="538">
        <f t="shared" si="316"/>
        <v>1.1733333333333335E-2</v>
      </c>
      <c r="BZ209" s="469">
        <f t="shared" si="317"/>
        <v>35.133386304412831</v>
      </c>
      <c r="CA209" s="177">
        <f t="shared" si="318"/>
        <v>0.29689130392124824</v>
      </c>
      <c r="CB209" s="5">
        <f t="shared" si="319"/>
        <v>3.1680000000000001</v>
      </c>
      <c r="CC209" s="177">
        <f t="shared" si="320"/>
        <v>0.91431439607203446</v>
      </c>
      <c r="CD209" s="5">
        <f t="shared" si="321"/>
        <v>91.431439607203444</v>
      </c>
      <c r="CG209" s="571">
        <f t="shared" si="356"/>
        <v>-50</v>
      </c>
      <c r="CH209">
        <f t="shared" si="357"/>
        <v>-50</v>
      </c>
    </row>
    <row r="210" spans="5:88" x14ac:dyDescent="0.25">
      <c r="E210" s="174">
        <v>100</v>
      </c>
      <c r="F210" s="221">
        <f t="shared" si="378"/>
        <v>0.2</v>
      </c>
      <c r="G210" s="221"/>
      <c r="H210" s="221">
        <f t="shared" si="367"/>
        <v>3.2</v>
      </c>
      <c r="I210" s="551">
        <f t="shared" si="323"/>
        <v>12</v>
      </c>
      <c r="J210" s="451">
        <f t="shared" si="324"/>
        <v>19.584</v>
      </c>
      <c r="K210" s="451">
        <f t="shared" si="325"/>
        <v>31.584</v>
      </c>
      <c r="L210" s="451"/>
      <c r="M210" s="221">
        <f t="shared" si="326"/>
        <v>0.62006079027355621</v>
      </c>
      <c r="N210" s="176">
        <f t="shared" si="368"/>
        <v>5.0626723404255323</v>
      </c>
      <c r="O210" s="176">
        <f t="shared" si="363"/>
        <v>3.2</v>
      </c>
      <c r="P210" s="221">
        <f t="shared" si="369"/>
        <v>0.31641702127659577</v>
      </c>
      <c r="Q210" s="221">
        <f t="shared" si="329"/>
        <v>16</v>
      </c>
      <c r="R210" s="221"/>
      <c r="S210" s="176">
        <f t="shared" si="330"/>
        <v>30.60348123407509</v>
      </c>
      <c r="T210" s="546">
        <f t="shared" si="370"/>
        <v>16</v>
      </c>
      <c r="U210" s="221">
        <f t="shared" si="332"/>
        <v>0.9557007988380537</v>
      </c>
      <c r="V210" s="221">
        <f t="shared" si="371"/>
        <v>2.3892519970951347</v>
      </c>
      <c r="W210" s="221">
        <f t="shared" si="334"/>
        <v>1.46400244920045</v>
      </c>
      <c r="X210" s="201">
        <f t="shared" si="335"/>
        <v>350</v>
      </c>
      <c r="Y210" s="451">
        <f t="shared" si="303"/>
        <v>259.5208839534003</v>
      </c>
      <c r="AA210" s="221">
        <f t="shared" si="336"/>
        <v>0.70864090316977857</v>
      </c>
      <c r="AB210" s="177">
        <f t="shared" si="372"/>
        <v>1.0855405992184108</v>
      </c>
      <c r="AC210" s="177">
        <f t="shared" si="373"/>
        <v>0.16154427883809541</v>
      </c>
      <c r="AD210" s="177"/>
      <c r="AE210" s="177">
        <f t="shared" si="339"/>
        <v>0.4595588235294118</v>
      </c>
      <c r="AF210" s="555">
        <f t="shared" si="374"/>
        <v>2417.7777777777778</v>
      </c>
      <c r="AG210" s="538">
        <f t="shared" si="341"/>
        <v>2.8952205882352939E-2</v>
      </c>
      <c r="AI210" s="177">
        <f t="shared" si="342"/>
        <v>0.78848860848732982</v>
      </c>
      <c r="AJ210" s="177">
        <f t="shared" si="375"/>
        <v>0.9557007988380537</v>
      </c>
      <c r="AK210" s="177">
        <f t="shared" si="376"/>
        <v>1.6371338658920358</v>
      </c>
      <c r="AM210" s="555">
        <f t="shared" si="345"/>
        <v>200</v>
      </c>
      <c r="AN210" s="469">
        <f t="shared" si="346"/>
        <v>259.5208839534003</v>
      </c>
      <c r="AP210">
        <f t="shared" si="347"/>
        <v>200</v>
      </c>
      <c r="AQ210">
        <f t="shared" si="348"/>
        <v>259.5208839534003</v>
      </c>
      <c r="AS210" s="5">
        <f t="shared" si="364"/>
        <v>3.8532544462955842</v>
      </c>
      <c r="AT210" s="5">
        <f t="shared" si="349"/>
        <v>2.3892519970951347</v>
      </c>
      <c r="AU210" s="5">
        <f t="shared" si="304"/>
        <v>1.4640024492004495</v>
      </c>
      <c r="AV210" s="5"/>
      <c r="AW210" s="177">
        <f t="shared" si="305"/>
        <v>0.62006079027355632</v>
      </c>
      <c r="AX210" s="177">
        <f t="shared" si="360"/>
        <v>3.5555555555555554</v>
      </c>
      <c r="AY210" s="177">
        <f t="shared" si="361"/>
        <v>0.21786492374727665</v>
      </c>
      <c r="AZ210" s="177">
        <f t="shared" si="365"/>
        <v>16.320000000000004</v>
      </c>
      <c r="BA210" s="469">
        <f t="shared" si="350"/>
        <v>8.6504050333139713</v>
      </c>
      <c r="BB210" s="469">
        <f t="shared" si="351"/>
        <v>5.3348166666666668</v>
      </c>
      <c r="BC210" s="5">
        <f t="shared" si="359"/>
        <v>0.2711115646667499</v>
      </c>
      <c r="BD210" s="469">
        <f t="shared" si="352"/>
        <v>44.266739235568878</v>
      </c>
      <c r="BF210" s="177">
        <f t="shared" si="366"/>
        <v>0.43448867040321243</v>
      </c>
      <c r="BG210" s="177">
        <f t="shared" si="362"/>
        <v>0.40813103941167128</v>
      </c>
      <c r="BI210" s="538">
        <f t="shared" si="306"/>
        <v>6.607314164806298E-2</v>
      </c>
      <c r="BJ210" s="538">
        <f t="shared" si="307"/>
        <v>3.9168000000000001E-2</v>
      </c>
      <c r="BK210" s="538">
        <f t="shared" si="308"/>
        <v>3.2440110494175037E-3</v>
      </c>
      <c r="BL210" s="538">
        <f t="shared" si="309"/>
        <v>1.2944240640000002E-2</v>
      </c>
      <c r="BM210">
        <f t="shared" si="310"/>
        <v>3.48E-3</v>
      </c>
      <c r="BN210">
        <f t="shared" si="353"/>
        <v>4.5416154691845058E-6</v>
      </c>
      <c r="BO210" s="538">
        <f t="shared" si="377"/>
        <v>0.13548544364923851</v>
      </c>
      <c r="BP210" s="469">
        <f t="shared" si="311"/>
        <v>124.90939333748048</v>
      </c>
      <c r="BQ210" s="538">
        <f t="shared" si="355"/>
        <v>0.14003010111653799</v>
      </c>
      <c r="BT210" s="469">
        <f t="shared" si="312"/>
        <v>140.03010111653799</v>
      </c>
      <c r="BU210" s="538">
        <f t="shared" si="313"/>
        <v>1.887804047087514E-2</v>
      </c>
      <c r="BV210" s="538">
        <f t="shared" si="314"/>
        <v>4.9971283599375346E-3</v>
      </c>
      <c r="BW210" s="538">
        <f t="shared" si="315"/>
        <v>0</v>
      </c>
      <c r="BX210" s="538"/>
      <c r="BY210" s="538">
        <f t="shared" si="316"/>
        <v>1.1851851851851853E-2</v>
      </c>
      <c r="BZ210" s="469">
        <f t="shared" si="317"/>
        <v>35.727020682664531</v>
      </c>
      <c r="CA210" s="177">
        <f t="shared" si="318"/>
        <v>0.30066651513668302</v>
      </c>
      <c r="CB210" s="5">
        <f t="shared" si="319"/>
        <v>3.2</v>
      </c>
      <c r="CC210" s="177">
        <f t="shared" si="320"/>
        <v>0.91411163735916623</v>
      </c>
      <c r="CD210" s="5">
        <f t="shared" si="321"/>
        <v>91.411163735916617</v>
      </c>
      <c r="CG210" s="571">
        <f t="shared" si="356"/>
        <v>-50</v>
      </c>
      <c r="CH210">
        <f t="shared" si="357"/>
        <v>-50</v>
      </c>
    </row>
    <row r="211" spans="5:88" ht="13" x14ac:dyDescent="0.3">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5">
      <c r="E212" s="647">
        <v>101</v>
      </c>
      <c r="F212" s="648">
        <f>Ioutmax_Vinmin</f>
        <v>0.31641702127659577</v>
      </c>
      <c r="H212" s="221">
        <f t="shared" ref="H212" si="379">F212*Vout</f>
        <v>5.0626723404255323</v>
      </c>
      <c r="I212" s="551">
        <f t="shared" si="323"/>
        <v>12</v>
      </c>
      <c r="J212" s="451">
        <f t="shared" ref="J212" si="380">(T212+Vfwd1)*Nps</f>
        <v>19.34120210774568</v>
      </c>
      <c r="K212" s="451">
        <f t="shared" ref="K212" si="381">(Vout+Vfwd1)*Nps+I212</f>
        <v>31.584</v>
      </c>
      <c r="L212" s="451"/>
      <c r="M212" s="221">
        <f t="shared" ref="M212" si="382">(Vout+Vfwd1)*Nps/((Vout+Vfwd1)*Nps+I212)</f>
        <v>0.62006079027355621</v>
      </c>
      <c r="N212" s="176">
        <f>M212*I212*(Isw_max+VIN_min/Lmag*ILIM_delay)*0.5*Efficiency</f>
        <v>5.0626723404255323</v>
      </c>
      <c r="O212" s="176">
        <f t="shared" ref="O212" si="383">T212*F212</f>
        <v>4.9986511855594093</v>
      </c>
      <c r="P212" s="221">
        <f t="shared" ref="P212" si="384">N212/Vout</f>
        <v>0.31641702127659577</v>
      </c>
      <c r="Q212" s="221">
        <f t="shared" ref="Q212" si="385">MIN(Vout,N212/F212)</f>
        <v>16</v>
      </c>
      <c r="R212" s="221"/>
      <c r="S212" s="176">
        <f t="shared" ref="S212" si="386">(SQRT(Isw_max^2*Nps^2*I212^2+4*Isw_max*F212/Efficiency*(Nps^2*Vfwd1*I212-Nps*I212^2)+4*(F212/Efficiency)^2*Nps^2*Vfwd1^2+8*(F212/Efficiency)^2*Nps*Vfwd1*I212+4*(F212/Efficiency)^2*I212^2)-2*F212/Efficiency*I212-2*F212/Efficiency*Nps*Vfwd1+Isw_max*Nps*I212)/(4*F212/Efficiency*Nps)</f>
        <v>15.797668423121401</v>
      </c>
      <c r="T212" s="546">
        <f t="shared" ref="T212" si="387">MIN(Vout, S212)</f>
        <v>15.797668423121401</v>
      </c>
      <c r="U212" s="221">
        <f>MIN(2*Vout*F212/(Efficiency*I212*M212), Isw_max)</f>
        <v>1.5</v>
      </c>
      <c r="V212" s="221">
        <f t="shared" ref="V212" si="388">L*U212/I212*1000000</f>
        <v>3.75</v>
      </c>
      <c r="W212" s="221">
        <f t="shared" ref="W212" si="389">L*U212/J212*1000000</f>
        <v>2.3266392517546053</v>
      </c>
      <c r="X212" s="201">
        <f t="shared" ref="X212" si="390">IF(1/((350000*L)*(1/I212+1/J212))&gt;Isw_min, 350, 0.001/((Isw_min*L)*(1/I212+1/J212)))</f>
        <v>350</v>
      </c>
      <c r="Y212" s="451">
        <f t="shared" ref="Y212" si="391">MIN(1/(V212+W212)*1000, 350)</f>
        <v>164.5646480842604</v>
      </c>
      <c r="AA212" s="221">
        <f t="shared" ref="AA212" si="392">1/((X212*1000*L)*(1/I212+1/J212))</f>
        <v>0.70527706321825889</v>
      </c>
      <c r="AB212" s="177">
        <f t="shared" ref="AB212" si="393">L*AA212/J212*1000000</f>
        <v>1.09395019909721</v>
      </c>
      <c r="AC212" s="177">
        <f t="shared" ref="AC212" si="394">0.5*AB212*AA212*Nps*X212/1000</f>
        <v>0.16202297658252507</v>
      </c>
      <c r="AD212" s="177"/>
      <c r="AE212" s="177">
        <f t="shared" ref="AE212" si="395">L*Isw_min/J212*1000000</f>
        <v>0.465327850350921</v>
      </c>
      <c r="AF212" s="555">
        <f>MAX(12000,F212/(0.5*AE212/1000000*Isw_min*Nps))/1000</f>
        <v>3777.7071350873484</v>
      </c>
      <c r="AG212" s="538">
        <f t="shared" ref="AG212" si="396">0.5*AE212/1000000*Isw_min*Nps*X212*1000</f>
        <v>2.9315654572108021E-2</v>
      </c>
      <c r="AI212" s="177">
        <f t="shared" ref="AI212" si="397">SQRT(F212/(0.5*L/J212*Fsw_DCM*Nps))</f>
        <v>0.98560154533427857</v>
      </c>
      <c r="AJ212" s="177">
        <f t="shared" ref="AJ212" si="398">MAX(IF(F212&gt;AC212,U212,AI212),Isw_min)</f>
        <v>1.5</v>
      </c>
      <c r="AK212" s="177">
        <f t="shared" ref="AK212" si="399">IF(F212&gt;AG212, (AJ212-Isw_min)/1.08*0.8+1.2, AF212*0.2/350+1)</f>
        <v>2.0888888888888886</v>
      </c>
      <c r="AM212" s="555">
        <f t="shared" ref="AM212" si="400">F212*1000</f>
        <v>316.41702127659579</v>
      </c>
      <c r="AN212" s="469">
        <f t="shared" ref="AN212" si="401">IF(F212&gt;AG212, Y212, AF212)</f>
        <v>164.5646480842604</v>
      </c>
      <c r="AS212" s="5">
        <f t="shared" ref="AS212" si="402">1/AN212*1000</f>
        <v>6.0766392517546048</v>
      </c>
      <c r="AT212" s="5">
        <f t="shared" ref="AT212" si="403">L*AJ212/I212*1000000</f>
        <v>3.75</v>
      </c>
      <c r="AU212" s="5">
        <f t="shared" si="304"/>
        <v>2.3266392517546048</v>
      </c>
      <c r="AV212" s="5"/>
      <c r="AW212" s="177"/>
      <c r="AX212" s="177"/>
      <c r="BA212" s="469">
        <f>L*Isw_max^2/(2*Vout_ripple*Vout)*1000000000*((1+M212)/2)^2</f>
        <v>8.6504050333139713</v>
      </c>
      <c r="BB212" s="469">
        <f>L*F212^2/(2*Cout*Vout*Nps^2)*1000000000*((1+M212)/(1-M212))^2+F212*RCoutEsr</f>
        <v>12.800465380704663</v>
      </c>
      <c r="BC212" s="5">
        <f t="shared" si="359"/>
        <v>0.68165579780129604</v>
      </c>
      <c r="BD212" s="469">
        <f>((CB212/I212/Efficiency)*AU212/Cin+(CB212/I212/Efficiency)*RCinEsr)*1000</f>
        <v>109.07423694184254</v>
      </c>
      <c r="BQ212" s="538">
        <f>(Vfwd2*F212+BG212^2*Rdiode)*(1+Diode_TC/1000*(Ta-25))</f>
        <v>0.12087130212765958</v>
      </c>
      <c r="CB212" s="5">
        <f t="shared" si="319"/>
        <v>4.9986511855594093</v>
      </c>
      <c r="CG212" s="571"/>
    </row>
    <row r="213" spans="5:88" x14ac:dyDescent="0.25">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ht="13" x14ac:dyDescent="0.3">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3">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5">
      <c r="E216" s="174">
        <v>0.1</v>
      </c>
      <c r="F216" s="221">
        <v>1.0000000000000001E-9</v>
      </c>
      <c r="G216" s="221"/>
      <c r="H216" s="221">
        <f t="shared" ref="H216:H247" si="404">F216*Vout</f>
        <v>1.6000000000000001E-8</v>
      </c>
      <c r="I216" s="551">
        <f t="shared" ref="I216:I247" si="405">VIN_max</f>
        <v>48</v>
      </c>
      <c r="J216" s="451">
        <f t="shared" ref="J216:J247" si="406">(T216+Vfwd1)*Nps</f>
        <v>19.584</v>
      </c>
      <c r="K216" s="451">
        <f t="shared" ref="K216:K247" si="407">(Vout+Vfwd1)*Nps+I216</f>
        <v>67.584000000000003</v>
      </c>
      <c r="L216" s="451"/>
      <c r="M216" s="221">
        <f t="shared" ref="M216:M247" si="408">(Vout+Vfwd1)*Nps/((Vout+Vfwd1)*Nps+I216)</f>
        <v>0.28977272727272724</v>
      </c>
      <c r="N216" s="176">
        <f t="shared" ref="N216:N247" si="409">M216*I216*(Isw_max+VIN_max/Lmag*ILIM_delay)*0.5*Efficiency</f>
        <v>9.6890727272727268</v>
      </c>
      <c r="O216" s="176">
        <f t="shared" si="363"/>
        <v>1.6000000000000001E-8</v>
      </c>
      <c r="P216" s="221">
        <f t="shared" ref="P216:P247" si="410">N216/Vout</f>
        <v>0.60556704545454543</v>
      </c>
      <c r="Q216" s="221">
        <f t="shared" ref="Q216:Q247" si="411">MIN(Vout,N216/F216)</f>
        <v>16</v>
      </c>
      <c r="R216" s="221"/>
      <c r="S216" s="176">
        <f t="shared" ref="S216:S247" si="412">(SQRT(Isw_max^2*Nps^2*I216^2+4*Isw_max*F216/Efficiency*(Nps^2*Vfwd1*I216-Nps*I216^2)+4*(F216/Efficiency)^2*Nps^2*Vfwd1^2+8*(F216/Efficiency)^2*Nps*Vfwd1*I216+4*(F216/Efficiency)^2*I216^2)-2*F216/Efficiency*I216-2*F216/Efficiency*Nps*Vfwd1+Isw_max*Nps*I216)/(4*F216/Efficiency*Nps)</f>
        <v>32399999960</v>
      </c>
      <c r="T216" s="176">
        <f t="shared" ref="T216:T247" si="413">MIN(Vout, S216)</f>
        <v>16</v>
      </c>
      <c r="U216" s="221">
        <f t="shared" ref="U216:U247" si="414">MIN(2*Vout*F216/(Efficiency*I216*M216), Isw_max)</f>
        <v>2.5562817719680467E-9</v>
      </c>
      <c r="V216" s="221">
        <f t="shared" ref="V216:V247" si="415">L*U216/I216*1000000</f>
        <v>1.5976761074800293E-9</v>
      </c>
      <c r="W216" s="221">
        <f t="shared" ref="W216:W247" si="416">L*U216/J216*1000000</f>
        <v>3.9158728124510519E-9</v>
      </c>
      <c r="X216" s="201">
        <f t="shared" ref="X216:X247" si="417">IF(1/((350000*L)*(1/I216+1/J216))&gt;Isw_min, 350, 0.001/((Isw_min*L)*(1/I216+1/J216)))</f>
        <v>350</v>
      </c>
      <c r="Y216" s="451">
        <f t="shared" ref="Y216:Y275" si="418">MIN(1/(V216+W216)*1000, 350)</f>
        <v>350</v>
      </c>
      <c r="AA216" s="221">
        <f t="shared" ref="AA216:AA247" si="419">1/((X216*1000*L)*(1/I216+1/J216))</f>
        <v>1.3246753246753247</v>
      </c>
      <c r="AB216" s="177">
        <f t="shared" ref="AB216:AB247" si="420">L*AA216/J216*1000000</f>
        <v>2.029220779220779</v>
      </c>
      <c r="AC216" s="177">
        <f t="shared" ref="AC216:AC247" si="421">0.5*AB216*AA216*Nps*X216/1000</f>
        <v>0.5644923258559621</v>
      </c>
      <c r="AD216" s="177"/>
      <c r="AE216" s="177">
        <f t="shared" ref="AE216:AE247" si="422">L*Isw_min/J216*1000000</f>
        <v>0.4595588235294118</v>
      </c>
      <c r="AF216" s="555">
        <f t="shared" ref="AF216:AF247" si="423">MAX(12000,F216/(0.5*AE216/1000000*Isw_min*Nps))/1000</f>
        <v>12</v>
      </c>
      <c r="AG216" s="538">
        <f t="shared" ref="AG216:AG247" si="424">0.5*AE216/1000000*Isw_min*Nps*X216*1000</f>
        <v>2.8952205882352939E-2</v>
      </c>
      <c r="AI216" s="177">
        <f t="shared" ref="AI216:AI247" si="425">SQRT(F216/(0.5*L/J216*Fsw_DCM*Nps))</f>
        <v>5.5754564194973565E-5</v>
      </c>
      <c r="AJ216" s="177">
        <f t="shared" ref="AJ216:AJ247" si="426">MAX(IF(F216&gt;AC216,U216,AI216),Isw_min)</f>
        <v>0.3</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0.1875</v>
      </c>
      <c r="AU216" s="5">
        <f t="shared" si="304"/>
        <v>83.145833333333329</v>
      </c>
      <c r="AV216" s="5"/>
      <c r="AW216" s="177">
        <f t="shared" si="305"/>
        <v>2.2500000000000003E-3</v>
      </c>
      <c r="AX216" s="177"/>
      <c r="BA216" s="469">
        <f t="shared" ref="BA216:BA247" si="433">L*Isw_max^2/(2*Vout_ripple*Vout)*1000000000*((1+M216)/2)^2</f>
        <v>5.4827721650935404</v>
      </c>
      <c r="BB216" s="469">
        <f t="shared" ref="BB216:BB247" si="434">L*F216^2/(2*Cout*Vout*Nps^2)*1000000000*((1+M216)/(1-M216))^2+F216*RCoutEsr</f>
        <v>3.000000021470417E-9</v>
      </c>
      <c r="BC216" s="5">
        <f t="shared" si="359"/>
        <v>1.9246720679012342E-8</v>
      </c>
      <c r="BD216" s="469">
        <f t="shared" ref="BD216:BD247" si="435">((CB216/I216/Efficiency)*AU216/Cin+(CB216/I216/Efficiency)*RCinEsr)*1000</f>
        <v>0</v>
      </c>
      <c r="BQ216" s="538">
        <f t="shared" ref="BQ216:BQ247" si="436">(Vfwd2*F216+BG216^2*Rdiode)*(1+Diode_TC/1000*(Ta-25))</f>
        <v>3.8200000000000003E-10</v>
      </c>
      <c r="CG216" s="571">
        <f t="shared" ref="CG216:CG247" si="437">IF(ABS(F216-Ioutmax_Vinmax)&lt;Iout/200, AN216, -50)</f>
        <v>-50</v>
      </c>
      <c r="CH216">
        <f t="shared" ref="CH216:CH247" si="438">IF(ABS(F216-Ioutmax_Vinmin)&lt;Iout/200, N216*CC216, -50)</f>
        <v>-50</v>
      </c>
    </row>
    <row r="217" spans="5:88" x14ac:dyDescent="0.25">
      <c r="E217" s="174">
        <v>1</v>
      </c>
      <c r="F217" s="221">
        <f t="shared" ref="F217:F248" si="439">IF(PLOT_TYPE=1, E217/100*Iout_max, min_I*EXP(N217*rr/100))</f>
        <v>2E-3</v>
      </c>
      <c r="G217" s="221"/>
      <c r="H217" s="221">
        <f t="shared" si="404"/>
        <v>3.2000000000000001E-2</v>
      </c>
      <c r="I217" s="551">
        <f t="shared" si="405"/>
        <v>48</v>
      </c>
      <c r="J217" s="451">
        <f t="shared" si="406"/>
        <v>19.584</v>
      </c>
      <c r="K217" s="451">
        <f t="shared" si="407"/>
        <v>67.584000000000003</v>
      </c>
      <c r="L217" s="451"/>
      <c r="M217" s="221">
        <f t="shared" si="408"/>
        <v>0.28977272727272724</v>
      </c>
      <c r="N217" s="176">
        <f t="shared" si="409"/>
        <v>9.6890727272727268</v>
      </c>
      <c r="O217" s="176">
        <f t="shared" si="363"/>
        <v>3.2000000000000001E-2</v>
      </c>
      <c r="P217" s="221">
        <f t="shared" si="410"/>
        <v>0.60556704545454543</v>
      </c>
      <c r="Q217" s="221">
        <f t="shared" si="411"/>
        <v>16</v>
      </c>
      <c r="R217" s="221"/>
      <c r="S217" s="176">
        <f t="shared" si="412"/>
        <v>16160.000792063482</v>
      </c>
      <c r="T217" s="176">
        <f t="shared" si="413"/>
        <v>16</v>
      </c>
      <c r="U217" s="221">
        <f t="shared" si="414"/>
        <v>5.1125635439360929E-3</v>
      </c>
      <c r="V217" s="221">
        <f t="shared" si="415"/>
        <v>3.1953522149600587E-3</v>
      </c>
      <c r="W217" s="221">
        <f t="shared" si="416"/>
        <v>7.8317456249021034E-3</v>
      </c>
      <c r="X217" s="201">
        <f t="shared" si="417"/>
        <v>350</v>
      </c>
      <c r="Y217" s="451">
        <f t="shared" si="418"/>
        <v>350</v>
      </c>
      <c r="AA217" s="221">
        <f t="shared" si="419"/>
        <v>1.3246753246753247</v>
      </c>
      <c r="AB217" s="177">
        <f t="shared" si="420"/>
        <v>2.029220779220779</v>
      </c>
      <c r="AC217" s="177">
        <f t="shared" si="421"/>
        <v>0.5644923258559621</v>
      </c>
      <c r="AD217" s="177"/>
      <c r="AE217" s="177">
        <f t="shared" si="422"/>
        <v>0.4595588235294118</v>
      </c>
      <c r="AF217" s="555">
        <f t="shared" si="423"/>
        <v>24.177777777777781</v>
      </c>
      <c r="AG217" s="538">
        <f t="shared" si="424"/>
        <v>2.8952205882352939E-2</v>
      </c>
      <c r="AI217" s="177">
        <f t="shared" si="425"/>
        <v>7.884886084873298E-2</v>
      </c>
      <c r="AJ217" s="177">
        <f t="shared" si="426"/>
        <v>0.3</v>
      </c>
      <c r="AK217" s="177">
        <f t="shared" si="427"/>
        <v>1.0138158730158731</v>
      </c>
      <c r="AM217" s="555">
        <f t="shared" si="428"/>
        <v>2</v>
      </c>
      <c r="AN217" s="469">
        <f t="shared" si="429"/>
        <v>24.177777777777781</v>
      </c>
      <c r="AP217">
        <f t="shared" si="430"/>
        <v>2</v>
      </c>
      <c r="AQ217">
        <f t="shared" si="431"/>
        <v>24.177777777777781</v>
      </c>
      <c r="AS217" s="5">
        <f t="shared" si="364"/>
        <v>41.360294117647051</v>
      </c>
      <c r="AT217" s="5">
        <f t="shared" si="432"/>
        <v>0.1875</v>
      </c>
      <c r="AU217" s="5">
        <f t="shared" si="304"/>
        <v>41.172794117647051</v>
      </c>
      <c r="AV217" s="5"/>
      <c r="AW217" s="177">
        <f t="shared" si="305"/>
        <v>4.5333333333333345E-3</v>
      </c>
      <c r="AX217" s="177"/>
      <c r="BA217" s="469">
        <f t="shared" si="433"/>
        <v>5.4827721650935404</v>
      </c>
      <c r="BB217" s="469">
        <f t="shared" si="434"/>
        <v>6.0858816666666668E-3</v>
      </c>
      <c r="BC217" s="5">
        <f t="shared" si="359"/>
        <v>1.9061478758169929E-2</v>
      </c>
      <c r="BD217" s="469">
        <f t="shared" si="435"/>
        <v>0</v>
      </c>
      <c r="BQ217" s="538">
        <f t="shared" si="436"/>
        <v>7.6400000000000003E-4</v>
      </c>
      <c r="CG217" s="571">
        <f t="shared" si="437"/>
        <v>-50</v>
      </c>
      <c r="CH217">
        <f t="shared" si="438"/>
        <v>-50</v>
      </c>
    </row>
    <row r="218" spans="5:88" x14ac:dyDescent="0.25">
      <c r="E218" s="174">
        <v>2</v>
      </c>
      <c r="F218" s="221">
        <f t="shared" si="439"/>
        <v>4.0000000000000001E-3</v>
      </c>
      <c r="G218" s="221"/>
      <c r="H218" s="221">
        <f t="shared" si="404"/>
        <v>6.4000000000000001E-2</v>
      </c>
      <c r="I218" s="551">
        <f t="shared" si="405"/>
        <v>48</v>
      </c>
      <c r="J218" s="451">
        <f t="shared" si="406"/>
        <v>19.584</v>
      </c>
      <c r="K218" s="451">
        <f t="shared" si="407"/>
        <v>67.584000000000003</v>
      </c>
      <c r="L218" s="451"/>
      <c r="M218" s="221">
        <f t="shared" si="408"/>
        <v>0.28977272727272724</v>
      </c>
      <c r="N218" s="176">
        <f t="shared" si="409"/>
        <v>9.6890727272727268</v>
      </c>
      <c r="O218" s="176">
        <f t="shared" si="363"/>
        <v>6.4000000000000001E-2</v>
      </c>
      <c r="P218" s="221">
        <f t="shared" si="410"/>
        <v>0.60556704545454543</v>
      </c>
      <c r="Q218" s="221">
        <f t="shared" si="411"/>
        <v>16</v>
      </c>
      <c r="R218" s="221"/>
      <c r="S218" s="176">
        <f t="shared" si="412"/>
        <v>8060.0015880259689</v>
      </c>
      <c r="T218" s="176">
        <f t="shared" si="413"/>
        <v>16</v>
      </c>
      <c r="U218" s="221">
        <f t="shared" si="414"/>
        <v>1.0225127087872186E-2</v>
      </c>
      <c r="V218" s="221">
        <f t="shared" si="415"/>
        <v>6.3907044299201174E-3</v>
      </c>
      <c r="W218" s="221">
        <f t="shared" si="416"/>
        <v>1.5663491249804207E-2</v>
      </c>
      <c r="X218" s="201">
        <f t="shared" si="417"/>
        <v>350</v>
      </c>
      <c r="Y218" s="451">
        <f t="shared" si="418"/>
        <v>350</v>
      </c>
      <c r="AA218" s="221">
        <f t="shared" si="419"/>
        <v>1.3246753246753247</v>
      </c>
      <c r="AB218" s="177">
        <f t="shared" si="420"/>
        <v>2.029220779220779</v>
      </c>
      <c r="AC218" s="177">
        <f t="shared" si="421"/>
        <v>0.5644923258559621</v>
      </c>
      <c r="AD218" s="177"/>
      <c r="AE218" s="177">
        <f t="shared" si="422"/>
        <v>0.4595588235294118</v>
      </c>
      <c r="AF218" s="555">
        <f t="shared" si="423"/>
        <v>48.355555555555561</v>
      </c>
      <c r="AG218" s="538">
        <f t="shared" si="424"/>
        <v>2.8952205882352939E-2</v>
      </c>
      <c r="AI218" s="177">
        <f t="shared" si="425"/>
        <v>0.11150912838994713</v>
      </c>
      <c r="AJ218" s="177">
        <f t="shared" si="426"/>
        <v>0.3</v>
      </c>
      <c r="AK218" s="177">
        <f t="shared" si="427"/>
        <v>1.0276317460317461</v>
      </c>
      <c r="AM218" s="555">
        <f t="shared" si="428"/>
        <v>4</v>
      </c>
      <c r="AN218" s="469">
        <f t="shared" si="429"/>
        <v>48.355555555555561</v>
      </c>
      <c r="AP218">
        <f t="shared" si="430"/>
        <v>4</v>
      </c>
      <c r="AQ218">
        <f t="shared" si="431"/>
        <v>48.355555555555561</v>
      </c>
      <c r="AS218" s="5">
        <f t="shared" si="364"/>
        <v>20.680147058823525</v>
      </c>
      <c r="AT218" s="5">
        <f t="shared" si="432"/>
        <v>0.1875</v>
      </c>
      <c r="AU218" s="5">
        <f t="shared" si="304"/>
        <v>20.492647058823525</v>
      </c>
      <c r="AV218" s="5"/>
      <c r="AW218" s="177">
        <f t="shared" si="305"/>
        <v>9.0666666666666691E-3</v>
      </c>
      <c r="AX218" s="177"/>
      <c r="BA218" s="469">
        <f t="shared" si="433"/>
        <v>5.4827721650935404</v>
      </c>
      <c r="BB218" s="469">
        <f t="shared" si="434"/>
        <v>1.2343526666666667E-2</v>
      </c>
      <c r="BC218" s="5">
        <f t="shared" si="359"/>
        <v>1.8974673202614374E-2</v>
      </c>
      <c r="BD218" s="469">
        <f t="shared" si="435"/>
        <v>0</v>
      </c>
      <c r="BQ218" s="538">
        <f t="shared" si="436"/>
        <v>1.5280000000000001E-3</v>
      </c>
      <c r="CG218" s="571">
        <f t="shared" si="437"/>
        <v>-50</v>
      </c>
      <c r="CH218">
        <f t="shared" si="438"/>
        <v>-50</v>
      </c>
    </row>
    <row r="219" spans="5:88" x14ac:dyDescent="0.25">
      <c r="E219" s="174">
        <v>3</v>
      </c>
      <c r="F219" s="221">
        <f t="shared" si="439"/>
        <v>6.0000000000000001E-3</v>
      </c>
      <c r="G219" s="221"/>
      <c r="H219" s="221">
        <f t="shared" si="404"/>
        <v>9.6000000000000002E-2</v>
      </c>
      <c r="I219" s="551">
        <f t="shared" si="405"/>
        <v>48</v>
      </c>
      <c r="J219" s="451">
        <f t="shared" si="406"/>
        <v>19.584</v>
      </c>
      <c r="K219" s="451">
        <f t="shared" si="407"/>
        <v>67.584000000000003</v>
      </c>
      <c r="L219" s="451"/>
      <c r="M219" s="221">
        <f t="shared" si="408"/>
        <v>0.28977272727272724</v>
      </c>
      <c r="N219" s="176">
        <f t="shared" si="409"/>
        <v>9.6890727272727268</v>
      </c>
      <c r="O219" s="176">
        <f t="shared" si="363"/>
        <v>9.6000000000000002E-2</v>
      </c>
      <c r="P219" s="221">
        <f t="shared" si="410"/>
        <v>0.60556704545454543</v>
      </c>
      <c r="Q219" s="221">
        <f t="shared" si="411"/>
        <v>16</v>
      </c>
      <c r="R219" s="221"/>
      <c r="S219" s="176">
        <f t="shared" si="412"/>
        <v>5360.0023879160763</v>
      </c>
      <c r="T219" s="176">
        <f t="shared" si="413"/>
        <v>16</v>
      </c>
      <c r="U219" s="221">
        <f t="shared" si="414"/>
        <v>1.533769063180828E-2</v>
      </c>
      <c r="V219" s="221">
        <f t="shared" si="415"/>
        <v>9.5860566448801744E-3</v>
      </c>
      <c r="W219" s="221">
        <f t="shared" si="416"/>
        <v>2.3495236874706314E-2</v>
      </c>
      <c r="X219" s="201">
        <f t="shared" si="417"/>
        <v>350</v>
      </c>
      <c r="Y219" s="451">
        <f t="shared" si="418"/>
        <v>350</v>
      </c>
      <c r="AA219" s="221">
        <f t="shared" si="419"/>
        <v>1.3246753246753247</v>
      </c>
      <c r="AB219" s="177">
        <f t="shared" si="420"/>
        <v>2.029220779220779</v>
      </c>
      <c r="AC219" s="177">
        <f t="shared" si="421"/>
        <v>0.5644923258559621</v>
      </c>
      <c r="AD219" s="177"/>
      <c r="AE219" s="177">
        <f t="shared" si="422"/>
        <v>0.4595588235294118</v>
      </c>
      <c r="AF219" s="555">
        <f t="shared" si="423"/>
        <v>72.533333333333346</v>
      </c>
      <c r="AG219" s="538">
        <f t="shared" si="424"/>
        <v>2.8952205882352939E-2</v>
      </c>
      <c r="AI219" s="177">
        <f t="shared" si="425"/>
        <v>0.13657023310893399</v>
      </c>
      <c r="AJ219" s="177">
        <f t="shared" si="426"/>
        <v>0.3</v>
      </c>
      <c r="AK219" s="177">
        <f t="shared" si="427"/>
        <v>1.041447619047619</v>
      </c>
      <c r="AM219" s="555">
        <f t="shared" si="428"/>
        <v>6</v>
      </c>
      <c r="AN219" s="469">
        <f t="shared" si="429"/>
        <v>72.533333333333346</v>
      </c>
      <c r="AP219">
        <f t="shared" si="430"/>
        <v>6</v>
      </c>
      <c r="AQ219">
        <f t="shared" si="431"/>
        <v>72.533333333333346</v>
      </c>
      <c r="AS219" s="5">
        <f t="shared" si="364"/>
        <v>13.786764705882351</v>
      </c>
      <c r="AT219" s="5">
        <f t="shared" si="432"/>
        <v>0.1875</v>
      </c>
      <c r="AU219" s="5">
        <f t="shared" si="304"/>
        <v>13.599264705882351</v>
      </c>
      <c r="AV219" s="5"/>
      <c r="AW219" s="177">
        <f t="shared" si="305"/>
        <v>1.3600000000000001E-2</v>
      </c>
      <c r="AX219" s="177"/>
      <c r="BA219" s="469">
        <f t="shared" si="433"/>
        <v>5.4827721650935404</v>
      </c>
      <c r="BB219" s="469">
        <f t="shared" si="434"/>
        <v>1.8772935000000001E-2</v>
      </c>
      <c r="BC219" s="5">
        <f t="shared" si="359"/>
        <v>1.8887867647058819E-2</v>
      </c>
      <c r="BD219" s="469">
        <f t="shared" si="435"/>
        <v>0</v>
      </c>
      <c r="BQ219" s="538">
        <f t="shared" si="436"/>
        <v>2.2920000000000002E-3</v>
      </c>
      <c r="CG219" s="571">
        <f t="shared" si="437"/>
        <v>-50</v>
      </c>
      <c r="CH219">
        <f t="shared" si="438"/>
        <v>-50</v>
      </c>
    </row>
    <row r="220" spans="5:88" x14ac:dyDescent="0.25">
      <c r="E220" s="174">
        <v>4</v>
      </c>
      <c r="F220" s="221">
        <f t="shared" si="439"/>
        <v>8.0000000000000002E-3</v>
      </c>
      <c r="G220" s="221"/>
      <c r="H220" s="221">
        <f t="shared" si="404"/>
        <v>0.128</v>
      </c>
      <c r="I220" s="551">
        <f t="shared" si="405"/>
        <v>48</v>
      </c>
      <c r="J220" s="451">
        <f t="shared" si="406"/>
        <v>19.584</v>
      </c>
      <c r="K220" s="451">
        <f t="shared" si="407"/>
        <v>67.584000000000003</v>
      </c>
      <c r="L220" s="451"/>
      <c r="M220" s="221">
        <f t="shared" si="408"/>
        <v>0.28977272727272724</v>
      </c>
      <c r="N220" s="176">
        <f t="shared" si="409"/>
        <v>9.6890727272727268</v>
      </c>
      <c r="O220" s="176">
        <f t="shared" si="363"/>
        <v>0.128</v>
      </c>
      <c r="P220" s="221">
        <f t="shared" si="410"/>
        <v>0.60556704545454543</v>
      </c>
      <c r="Q220" s="221">
        <f t="shared" si="411"/>
        <v>16</v>
      </c>
      <c r="R220" s="221"/>
      <c r="S220" s="176">
        <f t="shared" si="412"/>
        <v>4010.0031917627048</v>
      </c>
      <c r="T220" s="176">
        <f t="shared" si="413"/>
        <v>16</v>
      </c>
      <c r="U220" s="221">
        <f t="shared" si="414"/>
        <v>2.0450254175744371E-2</v>
      </c>
      <c r="V220" s="221">
        <f t="shared" si="415"/>
        <v>1.2781408859840235E-2</v>
      </c>
      <c r="W220" s="221">
        <f t="shared" si="416"/>
        <v>3.1326982499608413E-2</v>
      </c>
      <c r="X220" s="201">
        <f t="shared" si="417"/>
        <v>350</v>
      </c>
      <c r="Y220" s="451">
        <f t="shared" si="418"/>
        <v>350</v>
      </c>
      <c r="AA220" s="221">
        <f t="shared" si="419"/>
        <v>1.3246753246753247</v>
      </c>
      <c r="AB220" s="177">
        <f t="shared" si="420"/>
        <v>2.029220779220779</v>
      </c>
      <c r="AC220" s="177">
        <f t="shared" si="421"/>
        <v>0.5644923258559621</v>
      </c>
      <c r="AD220" s="177"/>
      <c r="AE220" s="177">
        <f t="shared" si="422"/>
        <v>0.4595588235294118</v>
      </c>
      <c r="AF220" s="555">
        <f t="shared" si="423"/>
        <v>96.711111111111123</v>
      </c>
      <c r="AG220" s="538">
        <f t="shared" si="424"/>
        <v>2.8952205882352939E-2</v>
      </c>
      <c r="AI220" s="177">
        <f t="shared" si="425"/>
        <v>0.15769772169746596</v>
      </c>
      <c r="AJ220" s="177">
        <f t="shared" si="426"/>
        <v>0.3</v>
      </c>
      <c r="AK220" s="177">
        <f t="shared" si="427"/>
        <v>1.055263492063492</v>
      </c>
      <c r="AM220" s="555">
        <f t="shared" si="428"/>
        <v>8</v>
      </c>
      <c r="AN220" s="469">
        <f t="shared" si="429"/>
        <v>96.711111111111123</v>
      </c>
      <c r="AP220">
        <f t="shared" si="430"/>
        <v>8</v>
      </c>
      <c r="AQ220">
        <f t="shared" si="431"/>
        <v>96.711111111111123</v>
      </c>
      <c r="AS220" s="5">
        <f t="shared" si="364"/>
        <v>10.340073529411763</v>
      </c>
      <c r="AT220" s="5">
        <f t="shared" si="432"/>
        <v>0.1875</v>
      </c>
      <c r="AU220" s="5">
        <f t="shared" si="304"/>
        <v>10.152573529411763</v>
      </c>
      <c r="AV220" s="5"/>
      <c r="AW220" s="177">
        <f t="shared" si="305"/>
        <v>1.8133333333333338E-2</v>
      </c>
      <c r="AX220" s="177"/>
      <c r="BA220" s="469">
        <f t="shared" si="433"/>
        <v>5.4827721650935404</v>
      </c>
      <c r="BB220" s="469">
        <f t="shared" si="434"/>
        <v>2.5374106666666667E-2</v>
      </c>
      <c r="BC220" s="5">
        <f t="shared" si="359"/>
        <v>1.880106209150326E-2</v>
      </c>
      <c r="BD220" s="469">
        <f t="shared" si="435"/>
        <v>0</v>
      </c>
      <c r="BQ220" s="538">
        <f t="shared" si="436"/>
        <v>3.0560000000000001E-3</v>
      </c>
      <c r="CG220" s="571">
        <f t="shared" si="437"/>
        <v>-50</v>
      </c>
      <c r="CH220">
        <f t="shared" si="438"/>
        <v>-50</v>
      </c>
    </row>
    <row r="221" spans="5:88" x14ac:dyDescent="0.25">
      <c r="E221" s="174">
        <v>5</v>
      </c>
      <c r="F221" s="221">
        <f t="shared" si="439"/>
        <v>1.0000000000000002E-2</v>
      </c>
      <c r="G221" s="221"/>
      <c r="H221" s="221">
        <f t="shared" si="404"/>
        <v>0.16000000000000003</v>
      </c>
      <c r="I221" s="551">
        <f t="shared" si="405"/>
        <v>48</v>
      </c>
      <c r="J221" s="451">
        <f t="shared" si="406"/>
        <v>19.584</v>
      </c>
      <c r="K221" s="451">
        <f t="shared" si="407"/>
        <v>67.584000000000003</v>
      </c>
      <c r="L221" s="451"/>
      <c r="M221" s="221">
        <f t="shared" si="408"/>
        <v>0.28977272727272724</v>
      </c>
      <c r="N221" s="176">
        <f t="shared" si="409"/>
        <v>9.6890727272727268</v>
      </c>
      <c r="O221" s="176">
        <f t="shared" si="363"/>
        <v>0.16000000000000003</v>
      </c>
      <c r="P221" s="221">
        <f t="shared" si="410"/>
        <v>0.60556704545454543</v>
      </c>
      <c r="Q221" s="221">
        <f t="shared" si="411"/>
        <v>16</v>
      </c>
      <c r="R221" s="221"/>
      <c r="S221" s="176">
        <f t="shared" si="412"/>
        <v>3200.003999595041</v>
      </c>
      <c r="T221" s="176">
        <f t="shared" si="413"/>
        <v>16</v>
      </c>
      <c r="U221" s="221">
        <f t="shared" si="414"/>
        <v>2.556281771968047E-2</v>
      </c>
      <c r="V221" s="221">
        <f t="shared" si="415"/>
        <v>1.5976761074800293E-2</v>
      </c>
      <c r="W221" s="221">
        <f t="shared" si="416"/>
        <v>3.9158728124510524E-2</v>
      </c>
      <c r="X221" s="201">
        <f t="shared" si="417"/>
        <v>350</v>
      </c>
      <c r="Y221" s="451">
        <f t="shared" si="418"/>
        <v>350</v>
      </c>
      <c r="AA221" s="221">
        <f t="shared" si="419"/>
        <v>1.3246753246753247</v>
      </c>
      <c r="AB221" s="177">
        <f t="shared" si="420"/>
        <v>2.029220779220779</v>
      </c>
      <c r="AC221" s="177">
        <f t="shared" si="421"/>
        <v>0.5644923258559621</v>
      </c>
      <c r="AD221" s="177"/>
      <c r="AE221" s="177">
        <f t="shared" si="422"/>
        <v>0.4595588235294118</v>
      </c>
      <c r="AF221" s="555">
        <f t="shared" si="423"/>
        <v>120.88888888888891</v>
      </c>
      <c r="AG221" s="538">
        <f t="shared" si="424"/>
        <v>2.8952205882352939E-2</v>
      </c>
      <c r="AI221" s="177">
        <f t="shared" si="425"/>
        <v>0.17631141280618873</v>
      </c>
      <c r="AJ221" s="177">
        <f t="shared" si="426"/>
        <v>0.3</v>
      </c>
      <c r="AK221" s="177">
        <f t="shared" si="427"/>
        <v>1.0690793650793651</v>
      </c>
      <c r="AM221" s="555">
        <f t="shared" si="428"/>
        <v>10.000000000000002</v>
      </c>
      <c r="AN221" s="469">
        <f t="shared" si="429"/>
        <v>120.88888888888891</v>
      </c>
      <c r="AP221">
        <f t="shared" si="430"/>
        <v>10.000000000000002</v>
      </c>
      <c r="AQ221">
        <f t="shared" si="431"/>
        <v>120.88888888888891</v>
      </c>
      <c r="AS221" s="5">
        <f t="shared" si="364"/>
        <v>8.2720588235294095</v>
      </c>
      <c r="AT221" s="5">
        <f t="shared" si="432"/>
        <v>0.1875</v>
      </c>
      <c r="AU221" s="5">
        <f t="shared" si="304"/>
        <v>8.0845588235294095</v>
      </c>
      <c r="AV221" s="5"/>
      <c r="AW221" s="177">
        <f t="shared" si="305"/>
        <v>2.2666666666666672E-2</v>
      </c>
      <c r="AX221" s="177"/>
      <c r="BA221" s="469">
        <f t="shared" si="433"/>
        <v>5.4827721650935404</v>
      </c>
      <c r="BB221" s="469">
        <f t="shared" si="434"/>
        <v>3.2147041666666674E-2</v>
      </c>
      <c r="BC221" s="5">
        <f t="shared" si="359"/>
        <v>1.8714256535947708E-2</v>
      </c>
      <c r="BD221" s="469">
        <f t="shared" si="435"/>
        <v>0</v>
      </c>
      <c r="BQ221" s="538">
        <f t="shared" si="436"/>
        <v>3.8200000000000009E-3</v>
      </c>
      <c r="CG221" s="571">
        <f t="shared" si="437"/>
        <v>-50</v>
      </c>
      <c r="CH221">
        <f t="shared" si="438"/>
        <v>-50</v>
      </c>
    </row>
    <row r="222" spans="5:88" x14ac:dyDescent="0.25">
      <c r="E222" s="174">
        <v>6</v>
      </c>
      <c r="F222" s="221">
        <f t="shared" si="439"/>
        <v>1.2E-2</v>
      </c>
      <c r="G222" s="221"/>
      <c r="H222" s="221">
        <f t="shared" si="404"/>
        <v>0.192</v>
      </c>
      <c r="I222" s="551">
        <f t="shared" si="405"/>
        <v>48</v>
      </c>
      <c r="J222" s="451">
        <f t="shared" si="406"/>
        <v>19.584</v>
      </c>
      <c r="K222" s="451">
        <f t="shared" si="407"/>
        <v>67.584000000000003</v>
      </c>
      <c r="L222" s="451"/>
      <c r="M222" s="221">
        <f t="shared" si="408"/>
        <v>0.28977272727272724</v>
      </c>
      <c r="N222" s="176">
        <f t="shared" si="409"/>
        <v>9.6890727272727268</v>
      </c>
      <c r="O222" s="176">
        <f t="shared" si="363"/>
        <v>0.192</v>
      </c>
      <c r="P222" s="221">
        <f t="shared" si="410"/>
        <v>0.60556704545454543</v>
      </c>
      <c r="Q222" s="221">
        <f t="shared" si="411"/>
        <v>16</v>
      </c>
      <c r="R222" s="221"/>
      <c r="S222" s="176">
        <f t="shared" si="412"/>
        <v>2660.0048114425526</v>
      </c>
      <c r="T222" s="176">
        <f t="shared" si="413"/>
        <v>16</v>
      </c>
      <c r="U222" s="221">
        <f t="shared" si="414"/>
        <v>3.0675381263616561E-2</v>
      </c>
      <c r="V222" s="221">
        <f t="shared" si="415"/>
        <v>1.9172113289760349E-2</v>
      </c>
      <c r="W222" s="221">
        <f t="shared" si="416"/>
        <v>4.6990473749412627E-2</v>
      </c>
      <c r="X222" s="201">
        <f t="shared" si="417"/>
        <v>350</v>
      </c>
      <c r="Y222" s="451">
        <f t="shared" si="418"/>
        <v>350</v>
      </c>
      <c r="AA222" s="221">
        <f t="shared" si="419"/>
        <v>1.3246753246753247</v>
      </c>
      <c r="AB222" s="177">
        <f t="shared" si="420"/>
        <v>2.029220779220779</v>
      </c>
      <c r="AC222" s="177">
        <f t="shared" si="421"/>
        <v>0.5644923258559621</v>
      </c>
      <c r="AD222" s="177"/>
      <c r="AE222" s="177">
        <f t="shared" si="422"/>
        <v>0.4595588235294118</v>
      </c>
      <c r="AF222" s="555">
        <f t="shared" si="423"/>
        <v>145.06666666666669</v>
      </c>
      <c r="AG222" s="538">
        <f t="shared" si="424"/>
        <v>2.8952205882352939E-2</v>
      </c>
      <c r="AI222" s="177">
        <f t="shared" si="425"/>
        <v>0.19313947587910954</v>
      </c>
      <c r="AJ222" s="177">
        <f t="shared" si="426"/>
        <v>0.3</v>
      </c>
      <c r="AK222" s="177">
        <f t="shared" si="427"/>
        <v>1.0828952380952381</v>
      </c>
      <c r="AM222" s="555">
        <f t="shared" si="428"/>
        <v>12</v>
      </c>
      <c r="AN222" s="469">
        <f t="shared" si="429"/>
        <v>145.06666666666669</v>
      </c>
      <c r="AP222">
        <f t="shared" si="430"/>
        <v>12</v>
      </c>
      <c r="AQ222">
        <f t="shared" si="431"/>
        <v>145.06666666666669</v>
      </c>
      <c r="AS222" s="5">
        <f t="shared" si="364"/>
        <v>6.8933823529411757</v>
      </c>
      <c r="AT222" s="5">
        <f t="shared" si="432"/>
        <v>0.1875</v>
      </c>
      <c r="AU222" s="5">
        <f t="shared" si="304"/>
        <v>6.7058823529411757</v>
      </c>
      <c r="AV222" s="5"/>
      <c r="AW222" s="177">
        <f t="shared" si="305"/>
        <v>2.7200000000000002E-2</v>
      </c>
      <c r="AX222" s="177"/>
      <c r="BA222" s="469">
        <f t="shared" si="433"/>
        <v>5.4827721650935404</v>
      </c>
      <c r="BB222" s="469">
        <f t="shared" si="434"/>
        <v>3.9091740000000007E-2</v>
      </c>
      <c r="BC222" s="5">
        <f t="shared" si="359"/>
        <v>1.8627450980392153E-2</v>
      </c>
      <c r="BD222" s="469">
        <f t="shared" si="435"/>
        <v>0</v>
      </c>
      <c r="BQ222" s="538">
        <f t="shared" si="436"/>
        <v>4.5840000000000004E-3</v>
      </c>
      <c r="CG222" s="571">
        <f t="shared" si="437"/>
        <v>-50</v>
      </c>
      <c r="CH222">
        <f t="shared" si="438"/>
        <v>-50</v>
      </c>
    </row>
    <row r="223" spans="5:88" x14ac:dyDescent="0.25">
      <c r="E223" s="174">
        <v>7</v>
      </c>
      <c r="F223" s="221">
        <f t="shared" si="439"/>
        <v>1.4000000000000002E-2</v>
      </c>
      <c r="G223" s="221"/>
      <c r="H223" s="221">
        <f t="shared" si="404"/>
        <v>0.22400000000000003</v>
      </c>
      <c r="I223" s="551">
        <f t="shared" si="405"/>
        <v>48</v>
      </c>
      <c r="J223" s="451">
        <f t="shared" si="406"/>
        <v>19.584</v>
      </c>
      <c r="K223" s="451">
        <f t="shared" si="407"/>
        <v>67.584000000000003</v>
      </c>
      <c r="L223" s="451"/>
      <c r="M223" s="221">
        <f t="shared" si="408"/>
        <v>0.28977272727272724</v>
      </c>
      <c r="N223" s="176">
        <f t="shared" si="409"/>
        <v>9.6890727272727268</v>
      </c>
      <c r="O223" s="176">
        <f t="shared" si="363"/>
        <v>0.22400000000000003</v>
      </c>
      <c r="P223" s="221">
        <f t="shared" si="410"/>
        <v>0.60556704545454543</v>
      </c>
      <c r="Q223" s="221">
        <f t="shared" si="411"/>
        <v>16</v>
      </c>
      <c r="R223" s="221"/>
      <c r="S223" s="176">
        <f t="shared" si="412"/>
        <v>2274.2913416207075</v>
      </c>
      <c r="T223" s="176">
        <f t="shared" si="413"/>
        <v>16</v>
      </c>
      <c r="U223" s="221">
        <f t="shared" si="414"/>
        <v>3.5787944807552659E-2</v>
      </c>
      <c r="V223" s="221">
        <f t="shared" si="415"/>
        <v>2.2367465504720411E-2</v>
      </c>
      <c r="W223" s="221">
        <f t="shared" si="416"/>
        <v>5.4822219374314737E-2</v>
      </c>
      <c r="X223" s="201">
        <f t="shared" si="417"/>
        <v>350</v>
      </c>
      <c r="Y223" s="451">
        <f t="shared" si="418"/>
        <v>350</v>
      </c>
      <c r="AA223" s="221">
        <f t="shared" si="419"/>
        <v>1.3246753246753247</v>
      </c>
      <c r="AB223" s="177">
        <f t="shared" si="420"/>
        <v>2.029220779220779</v>
      </c>
      <c r="AC223" s="177">
        <f t="shared" si="421"/>
        <v>0.5644923258559621</v>
      </c>
      <c r="AD223" s="177"/>
      <c r="AE223" s="177">
        <f t="shared" si="422"/>
        <v>0.4595588235294118</v>
      </c>
      <c r="AF223" s="555">
        <f t="shared" si="423"/>
        <v>169.2444444444445</v>
      </c>
      <c r="AG223" s="538">
        <f t="shared" si="424"/>
        <v>2.8952205882352939E-2</v>
      </c>
      <c r="AI223" s="177">
        <f t="shared" si="425"/>
        <v>0.20861447696648477</v>
      </c>
      <c r="AJ223" s="177">
        <f t="shared" si="426"/>
        <v>0.3</v>
      </c>
      <c r="AK223" s="177">
        <f t="shared" si="427"/>
        <v>1.0967111111111112</v>
      </c>
      <c r="AM223" s="555">
        <f t="shared" si="428"/>
        <v>14.000000000000002</v>
      </c>
      <c r="AN223" s="469">
        <f t="shared" si="429"/>
        <v>169.2444444444445</v>
      </c>
      <c r="AP223">
        <f t="shared" si="430"/>
        <v>14.000000000000002</v>
      </c>
      <c r="AQ223">
        <f t="shared" si="431"/>
        <v>169.2444444444445</v>
      </c>
      <c r="AS223" s="5">
        <f t="shared" si="364"/>
        <v>5.9086134453781494</v>
      </c>
      <c r="AT223" s="5">
        <f t="shared" si="432"/>
        <v>0.1875</v>
      </c>
      <c r="AU223" s="5">
        <f t="shared" si="304"/>
        <v>5.7211134453781494</v>
      </c>
      <c r="AV223" s="5"/>
      <c r="AW223" s="177">
        <f t="shared" si="305"/>
        <v>3.1733333333333343E-2</v>
      </c>
      <c r="AX223" s="177"/>
      <c r="BA223" s="469">
        <f t="shared" si="433"/>
        <v>5.4827721650935404</v>
      </c>
      <c r="BB223" s="469">
        <f t="shared" si="434"/>
        <v>4.6208201666666678E-2</v>
      </c>
      <c r="BC223" s="5">
        <f t="shared" si="359"/>
        <v>1.8540645424836598E-2</v>
      </c>
      <c r="BD223" s="469">
        <f t="shared" si="435"/>
        <v>0</v>
      </c>
      <c r="BQ223" s="538">
        <f t="shared" si="436"/>
        <v>5.3480000000000003E-3</v>
      </c>
      <c r="CG223" s="571">
        <f t="shared" si="437"/>
        <v>-50</v>
      </c>
      <c r="CH223">
        <f t="shared" si="438"/>
        <v>-50</v>
      </c>
    </row>
    <row r="224" spans="5:88" x14ac:dyDescent="0.25">
      <c r="E224" s="174">
        <v>8</v>
      </c>
      <c r="F224" s="221">
        <f t="shared" si="439"/>
        <v>1.6E-2</v>
      </c>
      <c r="G224" s="221"/>
      <c r="H224" s="221">
        <f t="shared" si="404"/>
        <v>0.25600000000000001</v>
      </c>
      <c r="I224" s="551">
        <f t="shared" si="405"/>
        <v>48</v>
      </c>
      <c r="J224" s="451">
        <f t="shared" si="406"/>
        <v>19.584</v>
      </c>
      <c r="K224" s="451">
        <f t="shared" si="407"/>
        <v>67.584000000000003</v>
      </c>
      <c r="L224" s="451"/>
      <c r="M224" s="221">
        <f t="shared" si="408"/>
        <v>0.28977272727272724</v>
      </c>
      <c r="N224" s="176">
        <f t="shared" si="409"/>
        <v>9.6890727272727268</v>
      </c>
      <c r="O224" s="176">
        <f t="shared" si="363"/>
        <v>0.25600000000000001</v>
      </c>
      <c r="P224" s="221">
        <f t="shared" si="410"/>
        <v>0.60556704545454543</v>
      </c>
      <c r="Q224" s="221">
        <f t="shared" si="411"/>
        <v>16</v>
      </c>
      <c r="R224" s="221"/>
      <c r="S224" s="176">
        <f t="shared" si="412"/>
        <v>1985.0064473024158</v>
      </c>
      <c r="T224" s="176">
        <f t="shared" si="413"/>
        <v>16</v>
      </c>
      <c r="U224" s="221">
        <f t="shared" si="414"/>
        <v>4.0900508351488743E-2</v>
      </c>
      <c r="V224" s="221">
        <f t="shared" si="415"/>
        <v>2.556281771968047E-2</v>
      </c>
      <c r="W224" s="221">
        <f t="shared" si="416"/>
        <v>6.2653964999216827E-2</v>
      </c>
      <c r="X224" s="201">
        <f t="shared" si="417"/>
        <v>350</v>
      </c>
      <c r="Y224" s="451">
        <f t="shared" si="418"/>
        <v>350</v>
      </c>
      <c r="AA224" s="221">
        <f t="shared" si="419"/>
        <v>1.3246753246753247</v>
      </c>
      <c r="AB224" s="177">
        <f t="shared" si="420"/>
        <v>2.029220779220779</v>
      </c>
      <c r="AC224" s="177">
        <f t="shared" si="421"/>
        <v>0.5644923258559621</v>
      </c>
      <c r="AD224" s="177"/>
      <c r="AE224" s="177">
        <f t="shared" si="422"/>
        <v>0.4595588235294118</v>
      </c>
      <c r="AF224" s="555">
        <f t="shared" si="423"/>
        <v>193.42222222222225</v>
      </c>
      <c r="AG224" s="538">
        <f t="shared" si="424"/>
        <v>2.8952205882352939E-2</v>
      </c>
      <c r="AI224" s="177">
        <f t="shared" si="425"/>
        <v>0.22301825677989426</v>
      </c>
      <c r="AJ224" s="177">
        <f t="shared" si="426"/>
        <v>0.3</v>
      </c>
      <c r="AK224" s="177">
        <f t="shared" si="427"/>
        <v>1.1105269841269843</v>
      </c>
      <c r="AM224" s="555">
        <f t="shared" si="428"/>
        <v>16</v>
      </c>
      <c r="AN224" s="469">
        <f t="shared" si="429"/>
        <v>193.42222222222225</v>
      </c>
      <c r="AP224">
        <f t="shared" si="430"/>
        <v>16</v>
      </c>
      <c r="AQ224">
        <f t="shared" si="431"/>
        <v>193.42222222222225</v>
      </c>
      <c r="AS224" s="5">
        <f t="shared" si="364"/>
        <v>5.1700367647058814</v>
      </c>
      <c r="AT224" s="5">
        <f t="shared" si="432"/>
        <v>0.1875</v>
      </c>
      <c r="AU224" s="5">
        <f t="shared" si="304"/>
        <v>4.9825367647058814</v>
      </c>
      <c r="AV224" s="5"/>
      <c r="AW224" s="177">
        <f t="shared" si="305"/>
        <v>3.6266666666666676E-2</v>
      </c>
      <c r="AX224" s="177"/>
      <c r="BA224" s="469">
        <f t="shared" si="433"/>
        <v>5.4827721650935404</v>
      </c>
      <c r="BB224" s="469">
        <f t="shared" si="434"/>
        <v>5.3496426666666666E-2</v>
      </c>
      <c r="BC224" s="5">
        <f t="shared" si="359"/>
        <v>1.8453839869281039E-2</v>
      </c>
      <c r="BD224" s="469">
        <f t="shared" si="435"/>
        <v>0</v>
      </c>
      <c r="BQ224" s="538">
        <f t="shared" si="436"/>
        <v>6.1120000000000002E-3</v>
      </c>
      <c r="CG224" s="571">
        <f t="shared" si="437"/>
        <v>-50</v>
      </c>
      <c r="CH224">
        <f t="shared" si="438"/>
        <v>-50</v>
      </c>
    </row>
    <row r="225" spans="5:86" x14ac:dyDescent="0.25">
      <c r="E225" s="174">
        <v>9</v>
      </c>
      <c r="F225" s="221">
        <f t="shared" si="439"/>
        <v>1.7999999999999999E-2</v>
      </c>
      <c r="G225" s="221"/>
      <c r="H225" s="221">
        <f t="shared" si="404"/>
        <v>0.28799999999999998</v>
      </c>
      <c r="I225" s="551">
        <f t="shared" si="405"/>
        <v>48</v>
      </c>
      <c r="J225" s="451">
        <f t="shared" si="406"/>
        <v>19.584</v>
      </c>
      <c r="K225" s="451">
        <f t="shared" si="407"/>
        <v>67.584000000000003</v>
      </c>
      <c r="L225" s="451"/>
      <c r="M225" s="221">
        <f t="shared" si="408"/>
        <v>0.28977272727272724</v>
      </c>
      <c r="N225" s="176">
        <f t="shared" si="409"/>
        <v>9.6890727272727268</v>
      </c>
      <c r="O225" s="176">
        <f t="shared" si="363"/>
        <v>0.28799999999999998</v>
      </c>
      <c r="P225" s="221">
        <f t="shared" si="410"/>
        <v>0.60556704545454543</v>
      </c>
      <c r="Q225" s="221">
        <f t="shared" si="411"/>
        <v>16</v>
      </c>
      <c r="R225" s="221"/>
      <c r="S225" s="176">
        <f t="shared" si="412"/>
        <v>1760.0072713751631</v>
      </c>
      <c r="T225" s="176">
        <f t="shared" si="413"/>
        <v>16</v>
      </c>
      <c r="U225" s="221">
        <f t="shared" si="414"/>
        <v>4.6013071895424834E-2</v>
      </c>
      <c r="V225" s="221">
        <f t="shared" si="415"/>
        <v>2.8758169934640521E-2</v>
      </c>
      <c r="W225" s="221">
        <f t="shared" si="416"/>
        <v>7.0485710624118916E-2</v>
      </c>
      <c r="X225" s="201">
        <f t="shared" si="417"/>
        <v>350</v>
      </c>
      <c r="Y225" s="451">
        <f t="shared" si="418"/>
        <v>350</v>
      </c>
      <c r="AA225" s="221">
        <f t="shared" si="419"/>
        <v>1.3246753246753247</v>
      </c>
      <c r="AB225" s="177">
        <f t="shared" si="420"/>
        <v>2.029220779220779</v>
      </c>
      <c r="AC225" s="177">
        <f t="shared" si="421"/>
        <v>0.5644923258559621</v>
      </c>
      <c r="AD225" s="177"/>
      <c r="AE225" s="177">
        <f t="shared" si="422"/>
        <v>0.4595588235294118</v>
      </c>
      <c r="AF225" s="555">
        <f t="shared" si="423"/>
        <v>217.6</v>
      </c>
      <c r="AG225" s="538">
        <f t="shared" si="424"/>
        <v>2.8952205882352939E-2</v>
      </c>
      <c r="AI225" s="177">
        <f t="shared" si="425"/>
        <v>0.23654658254619892</v>
      </c>
      <c r="AJ225" s="177">
        <f t="shared" si="426"/>
        <v>0.3</v>
      </c>
      <c r="AK225" s="177">
        <f t="shared" si="427"/>
        <v>1.1243428571428571</v>
      </c>
      <c r="AM225" s="555">
        <f t="shared" si="428"/>
        <v>18</v>
      </c>
      <c r="AN225" s="469">
        <f t="shared" si="429"/>
        <v>217.6</v>
      </c>
      <c r="AP225">
        <f t="shared" si="430"/>
        <v>18</v>
      </c>
      <c r="AQ225">
        <f t="shared" si="431"/>
        <v>217.6</v>
      </c>
      <c r="AS225" s="5">
        <f t="shared" si="364"/>
        <v>4.5955882352941178</v>
      </c>
      <c r="AT225" s="5">
        <f t="shared" si="432"/>
        <v>0.1875</v>
      </c>
      <c r="AU225" s="5">
        <f t="shared" si="304"/>
        <v>4.4080882352941178</v>
      </c>
      <c r="AV225" s="5"/>
      <c r="AW225" s="177">
        <f t="shared" si="305"/>
        <v>4.0799999999999996E-2</v>
      </c>
      <c r="AX225" s="177"/>
      <c r="BA225" s="469">
        <f t="shared" si="433"/>
        <v>5.4827721650935404</v>
      </c>
      <c r="BB225" s="469">
        <f t="shared" si="434"/>
        <v>6.0956414999999993E-2</v>
      </c>
      <c r="BC225" s="5">
        <f t="shared" si="359"/>
        <v>1.8367034313725484E-2</v>
      </c>
      <c r="BD225" s="469">
        <f t="shared" si="435"/>
        <v>0</v>
      </c>
      <c r="BQ225" s="538">
        <f t="shared" si="436"/>
        <v>6.8759999999999993E-3</v>
      </c>
      <c r="CG225" s="571">
        <f t="shared" si="437"/>
        <v>-50</v>
      </c>
      <c r="CH225">
        <f t="shared" si="438"/>
        <v>-50</v>
      </c>
    </row>
    <row r="226" spans="5:86" x14ac:dyDescent="0.25">
      <c r="E226" s="174">
        <v>10</v>
      </c>
      <c r="F226" s="221">
        <f t="shared" si="439"/>
        <v>2.0000000000000004E-2</v>
      </c>
      <c r="G226" s="221"/>
      <c r="H226" s="221">
        <f t="shared" si="404"/>
        <v>0.32000000000000006</v>
      </c>
      <c r="I226" s="551">
        <f t="shared" si="405"/>
        <v>48</v>
      </c>
      <c r="J226" s="451">
        <f t="shared" si="406"/>
        <v>19.584</v>
      </c>
      <c r="K226" s="451">
        <f t="shared" si="407"/>
        <v>67.584000000000003</v>
      </c>
      <c r="L226" s="451"/>
      <c r="M226" s="221">
        <f t="shared" si="408"/>
        <v>0.28977272727272724</v>
      </c>
      <c r="N226" s="176">
        <f t="shared" si="409"/>
        <v>9.6890727272727268</v>
      </c>
      <c r="O226" s="176">
        <f t="shared" si="363"/>
        <v>0.32000000000000006</v>
      </c>
      <c r="P226" s="221">
        <f t="shared" si="410"/>
        <v>0.60556704545454543</v>
      </c>
      <c r="Q226" s="221">
        <f t="shared" si="411"/>
        <v>16</v>
      </c>
      <c r="R226" s="221"/>
      <c r="S226" s="176">
        <f t="shared" si="412"/>
        <v>1580.0080995838794</v>
      </c>
      <c r="T226" s="176">
        <f t="shared" si="413"/>
        <v>16</v>
      </c>
      <c r="U226" s="221">
        <f t="shared" si="414"/>
        <v>5.1125635439360939E-2</v>
      </c>
      <c r="V226" s="221">
        <f t="shared" si="415"/>
        <v>3.1953522149600587E-2</v>
      </c>
      <c r="W226" s="221">
        <f t="shared" si="416"/>
        <v>7.8317456249021047E-2</v>
      </c>
      <c r="X226" s="201">
        <f t="shared" si="417"/>
        <v>350</v>
      </c>
      <c r="Y226" s="451">
        <f t="shared" si="418"/>
        <v>350</v>
      </c>
      <c r="AA226" s="221">
        <f t="shared" si="419"/>
        <v>1.3246753246753247</v>
      </c>
      <c r="AB226" s="177">
        <f t="shared" si="420"/>
        <v>2.029220779220779</v>
      </c>
      <c r="AC226" s="177">
        <f t="shared" si="421"/>
        <v>0.5644923258559621</v>
      </c>
      <c r="AD226" s="177"/>
      <c r="AE226" s="177">
        <f t="shared" si="422"/>
        <v>0.4595588235294118</v>
      </c>
      <c r="AF226" s="555">
        <f t="shared" si="423"/>
        <v>241.77777777777783</v>
      </c>
      <c r="AG226" s="538">
        <f t="shared" si="424"/>
        <v>2.8952205882352939E-2</v>
      </c>
      <c r="AI226" s="177">
        <f t="shared" si="425"/>
        <v>0.2493419911916735</v>
      </c>
      <c r="AJ226" s="177">
        <f t="shared" si="426"/>
        <v>0.3</v>
      </c>
      <c r="AK226" s="177">
        <f t="shared" si="427"/>
        <v>1.1381587301587301</v>
      </c>
      <c r="AM226" s="555">
        <f t="shared" si="428"/>
        <v>20.000000000000004</v>
      </c>
      <c r="AN226" s="469">
        <f t="shared" si="429"/>
        <v>241.77777777777783</v>
      </c>
      <c r="AP226">
        <f t="shared" si="430"/>
        <v>20.000000000000004</v>
      </c>
      <c r="AQ226">
        <f t="shared" si="431"/>
        <v>241.77777777777783</v>
      </c>
      <c r="AS226" s="5">
        <f t="shared" si="364"/>
        <v>4.1360294117647047</v>
      </c>
      <c r="AT226" s="5">
        <f t="shared" si="432"/>
        <v>0.1875</v>
      </c>
      <c r="AU226" s="5">
        <f t="shared" si="304"/>
        <v>3.9485294117647047</v>
      </c>
      <c r="AV226" s="5"/>
      <c r="AW226" s="177">
        <f t="shared" si="305"/>
        <v>4.5333333333333344E-2</v>
      </c>
      <c r="AX226" s="177"/>
      <c r="BA226" s="469">
        <f t="shared" si="433"/>
        <v>5.4827721650935404</v>
      </c>
      <c r="BB226" s="469">
        <f t="shared" si="434"/>
        <v>6.8588166666666686E-2</v>
      </c>
      <c r="BC226" s="5">
        <f t="shared" si="359"/>
        <v>1.8280228758169932E-2</v>
      </c>
      <c r="BD226" s="469">
        <f t="shared" si="435"/>
        <v>0</v>
      </c>
      <c r="BQ226" s="538">
        <f t="shared" si="436"/>
        <v>7.6400000000000018E-3</v>
      </c>
      <c r="CG226" s="571">
        <f t="shared" si="437"/>
        <v>-50</v>
      </c>
      <c r="CH226">
        <f t="shared" si="438"/>
        <v>-50</v>
      </c>
    </row>
    <row r="227" spans="5:86" x14ac:dyDescent="0.25">
      <c r="E227" s="174">
        <v>11</v>
      </c>
      <c r="F227" s="221">
        <f t="shared" si="439"/>
        <v>2.2000000000000002E-2</v>
      </c>
      <c r="G227" s="221"/>
      <c r="H227" s="221">
        <f t="shared" si="404"/>
        <v>0.35200000000000004</v>
      </c>
      <c r="I227" s="551">
        <f t="shared" si="405"/>
        <v>48</v>
      </c>
      <c r="J227" s="451">
        <f t="shared" si="406"/>
        <v>19.584</v>
      </c>
      <c r="K227" s="451">
        <f t="shared" si="407"/>
        <v>67.584000000000003</v>
      </c>
      <c r="L227" s="451"/>
      <c r="M227" s="221">
        <f t="shared" si="408"/>
        <v>0.28977272727272724</v>
      </c>
      <c r="N227" s="176">
        <f t="shared" si="409"/>
        <v>9.6890727272727268</v>
      </c>
      <c r="O227" s="176">
        <f t="shared" si="363"/>
        <v>0.35200000000000004</v>
      </c>
      <c r="P227" s="221">
        <f t="shared" si="410"/>
        <v>0.60556704545454543</v>
      </c>
      <c r="Q227" s="221">
        <f t="shared" si="411"/>
        <v>16</v>
      </c>
      <c r="R227" s="221"/>
      <c r="S227" s="176">
        <f t="shared" si="412"/>
        <v>1432.7362046867859</v>
      </c>
      <c r="T227" s="176">
        <f t="shared" si="413"/>
        <v>16</v>
      </c>
      <c r="U227" s="221">
        <f t="shared" si="414"/>
        <v>5.623819898329703E-2</v>
      </c>
      <c r="V227" s="221">
        <f t="shared" si="415"/>
        <v>3.5148874364560642E-2</v>
      </c>
      <c r="W227" s="221">
        <f t="shared" si="416"/>
        <v>8.6149201873923151E-2</v>
      </c>
      <c r="X227" s="201">
        <f t="shared" si="417"/>
        <v>350</v>
      </c>
      <c r="Y227" s="451">
        <f t="shared" si="418"/>
        <v>350</v>
      </c>
      <c r="AA227" s="221">
        <f t="shared" si="419"/>
        <v>1.3246753246753247</v>
      </c>
      <c r="AB227" s="177">
        <f t="shared" si="420"/>
        <v>2.029220779220779</v>
      </c>
      <c r="AC227" s="177">
        <f t="shared" si="421"/>
        <v>0.5644923258559621</v>
      </c>
      <c r="AD227" s="177"/>
      <c r="AE227" s="177">
        <f t="shared" si="422"/>
        <v>0.4595588235294118</v>
      </c>
      <c r="AF227" s="555">
        <f t="shared" si="423"/>
        <v>265.95555555555563</v>
      </c>
      <c r="AG227" s="538">
        <f t="shared" si="424"/>
        <v>2.8952205882352939E-2</v>
      </c>
      <c r="AI227" s="177">
        <f t="shared" si="425"/>
        <v>0.26151208658219116</v>
      </c>
      <c r="AJ227" s="177">
        <f t="shared" si="426"/>
        <v>0.3</v>
      </c>
      <c r="AK227" s="177">
        <f t="shared" si="427"/>
        <v>1.1519746031746032</v>
      </c>
      <c r="AM227" s="555">
        <f t="shared" si="428"/>
        <v>22.000000000000004</v>
      </c>
      <c r="AN227" s="469">
        <f t="shared" si="429"/>
        <v>265.95555555555563</v>
      </c>
      <c r="AP227">
        <f t="shared" si="430"/>
        <v>22.000000000000004</v>
      </c>
      <c r="AQ227">
        <f t="shared" si="431"/>
        <v>265.95555555555563</v>
      </c>
      <c r="AS227" s="5">
        <f t="shared" si="364"/>
        <v>3.7600267379679133</v>
      </c>
      <c r="AT227" s="5">
        <f t="shared" si="432"/>
        <v>0.1875</v>
      </c>
      <c r="AU227" s="5">
        <f t="shared" si="304"/>
        <v>3.5725267379679133</v>
      </c>
      <c r="AV227" s="5"/>
      <c r="AW227" s="177">
        <f t="shared" si="305"/>
        <v>4.9866666666666684E-2</v>
      </c>
      <c r="AX227" s="177"/>
      <c r="BA227" s="469">
        <f t="shared" si="433"/>
        <v>5.4827721650935404</v>
      </c>
      <c r="BB227" s="469">
        <f t="shared" si="434"/>
        <v>7.6391681666666669E-2</v>
      </c>
      <c r="BC227" s="5">
        <f t="shared" si="359"/>
        <v>1.8193423202614377E-2</v>
      </c>
      <c r="BD227" s="469">
        <f t="shared" si="435"/>
        <v>0</v>
      </c>
      <c r="BQ227" s="538">
        <f t="shared" si="436"/>
        <v>8.404E-3</v>
      </c>
      <c r="CG227" s="571">
        <f t="shared" si="437"/>
        <v>-50</v>
      </c>
      <c r="CH227">
        <f t="shared" si="438"/>
        <v>-50</v>
      </c>
    </row>
    <row r="228" spans="5:86" x14ac:dyDescent="0.25">
      <c r="E228" s="174">
        <v>12</v>
      </c>
      <c r="F228" s="221">
        <f t="shared" si="439"/>
        <v>2.4E-2</v>
      </c>
      <c r="G228" s="221"/>
      <c r="H228" s="221">
        <f t="shared" si="404"/>
        <v>0.38400000000000001</v>
      </c>
      <c r="I228" s="551">
        <f t="shared" si="405"/>
        <v>48</v>
      </c>
      <c r="J228" s="451">
        <f t="shared" si="406"/>
        <v>19.584</v>
      </c>
      <c r="K228" s="451">
        <f t="shared" si="407"/>
        <v>67.584000000000003</v>
      </c>
      <c r="L228" s="451"/>
      <c r="M228" s="221">
        <f t="shared" si="408"/>
        <v>0.28977272727272724</v>
      </c>
      <c r="N228" s="176">
        <f t="shared" si="409"/>
        <v>9.6890727272727268</v>
      </c>
      <c r="O228" s="176">
        <f t="shared" si="363"/>
        <v>0.38400000000000001</v>
      </c>
      <c r="P228" s="221">
        <f t="shared" si="410"/>
        <v>0.60556704545454543</v>
      </c>
      <c r="Q228" s="221">
        <f t="shared" si="411"/>
        <v>16</v>
      </c>
      <c r="R228" s="221"/>
      <c r="S228" s="176">
        <f t="shared" si="412"/>
        <v>1310.0097685333169</v>
      </c>
      <c r="T228" s="176">
        <f t="shared" si="413"/>
        <v>16</v>
      </c>
      <c r="U228" s="221">
        <f t="shared" si="414"/>
        <v>6.1350762527233121E-2</v>
      </c>
      <c r="V228" s="221">
        <f t="shared" si="415"/>
        <v>3.8344226579520697E-2</v>
      </c>
      <c r="W228" s="221">
        <f t="shared" si="416"/>
        <v>9.3980947498825254E-2</v>
      </c>
      <c r="X228" s="201">
        <f t="shared" si="417"/>
        <v>350</v>
      </c>
      <c r="Y228" s="451">
        <f t="shared" si="418"/>
        <v>350</v>
      </c>
      <c r="AA228" s="221">
        <f t="shared" si="419"/>
        <v>1.3246753246753247</v>
      </c>
      <c r="AB228" s="177">
        <f t="shared" si="420"/>
        <v>2.029220779220779</v>
      </c>
      <c r="AC228" s="177">
        <f t="shared" si="421"/>
        <v>0.5644923258559621</v>
      </c>
      <c r="AD228" s="177"/>
      <c r="AE228" s="177">
        <f t="shared" si="422"/>
        <v>0.4595588235294118</v>
      </c>
      <c r="AF228" s="555">
        <f t="shared" si="423"/>
        <v>290.13333333333338</v>
      </c>
      <c r="AG228" s="538">
        <f t="shared" si="424"/>
        <v>2.8952205882352939E-2</v>
      </c>
      <c r="AI228" s="177">
        <f t="shared" si="425"/>
        <v>0.27314046621786797</v>
      </c>
      <c r="AJ228" s="177">
        <f t="shared" si="426"/>
        <v>0.3</v>
      </c>
      <c r="AK228" s="177">
        <f t="shared" si="427"/>
        <v>1.1657904761904763</v>
      </c>
      <c r="AM228" s="555">
        <f t="shared" si="428"/>
        <v>24</v>
      </c>
      <c r="AN228" s="469">
        <f t="shared" si="429"/>
        <v>290.13333333333338</v>
      </c>
      <c r="AP228">
        <f t="shared" si="430"/>
        <v>24</v>
      </c>
      <c r="AQ228">
        <f t="shared" si="431"/>
        <v>290.13333333333338</v>
      </c>
      <c r="AS228" s="5">
        <f t="shared" si="364"/>
        <v>3.4466911764705879</v>
      </c>
      <c r="AT228" s="5">
        <f t="shared" si="432"/>
        <v>0.1875</v>
      </c>
      <c r="AU228" s="5">
        <f t="shared" si="304"/>
        <v>3.2591911764705879</v>
      </c>
      <c r="AV228" s="5"/>
      <c r="AW228" s="177">
        <f t="shared" si="305"/>
        <v>5.4400000000000004E-2</v>
      </c>
      <c r="AX228" s="177"/>
      <c r="BA228" s="469">
        <f t="shared" si="433"/>
        <v>5.4827721650935404</v>
      </c>
      <c r="BB228" s="469">
        <f t="shared" si="434"/>
        <v>8.4366960000000005E-2</v>
      </c>
      <c r="BC228" s="5">
        <f t="shared" si="359"/>
        <v>1.8106617647058822E-2</v>
      </c>
      <c r="BD228" s="469">
        <f t="shared" si="435"/>
        <v>0</v>
      </c>
      <c r="BQ228" s="538">
        <f t="shared" si="436"/>
        <v>9.1680000000000008E-3</v>
      </c>
      <c r="CG228" s="571">
        <f t="shared" si="437"/>
        <v>-50</v>
      </c>
      <c r="CH228">
        <f t="shared" si="438"/>
        <v>-50</v>
      </c>
    </row>
    <row r="229" spans="5:86" x14ac:dyDescent="0.25">
      <c r="E229" s="174">
        <v>13</v>
      </c>
      <c r="F229" s="221">
        <f t="shared" si="439"/>
        <v>2.6000000000000002E-2</v>
      </c>
      <c r="G229" s="221"/>
      <c r="H229" s="221">
        <f t="shared" si="404"/>
        <v>0.41600000000000004</v>
      </c>
      <c r="I229" s="551">
        <f t="shared" si="405"/>
        <v>48</v>
      </c>
      <c r="J229" s="451">
        <f t="shared" si="406"/>
        <v>19.584</v>
      </c>
      <c r="K229" s="451">
        <f t="shared" si="407"/>
        <v>67.584000000000003</v>
      </c>
      <c r="L229" s="451"/>
      <c r="M229" s="221">
        <f t="shared" si="408"/>
        <v>0.28977272727272724</v>
      </c>
      <c r="N229" s="176">
        <f t="shared" si="409"/>
        <v>9.6890727272727268</v>
      </c>
      <c r="O229" s="176">
        <f t="shared" si="363"/>
        <v>0.41600000000000004</v>
      </c>
      <c r="P229" s="221">
        <f t="shared" si="410"/>
        <v>0.60556704545454543</v>
      </c>
      <c r="Q229" s="221">
        <f t="shared" si="411"/>
        <v>16</v>
      </c>
      <c r="R229" s="221"/>
      <c r="S229" s="176">
        <f t="shared" si="412"/>
        <v>1206.1644554907023</v>
      </c>
      <c r="T229" s="176">
        <f t="shared" si="413"/>
        <v>16</v>
      </c>
      <c r="U229" s="221">
        <f t="shared" si="414"/>
        <v>6.6463326071169213E-2</v>
      </c>
      <c r="V229" s="221">
        <f t="shared" si="415"/>
        <v>4.153957879448076E-2</v>
      </c>
      <c r="W229" s="221">
        <f t="shared" si="416"/>
        <v>0.10181269312372734</v>
      </c>
      <c r="X229" s="201">
        <f t="shared" si="417"/>
        <v>350</v>
      </c>
      <c r="Y229" s="451">
        <f t="shared" si="418"/>
        <v>350</v>
      </c>
      <c r="AA229" s="221">
        <f t="shared" si="419"/>
        <v>1.3246753246753247</v>
      </c>
      <c r="AB229" s="177">
        <f t="shared" si="420"/>
        <v>2.029220779220779</v>
      </c>
      <c r="AC229" s="177">
        <f t="shared" si="421"/>
        <v>0.5644923258559621</v>
      </c>
      <c r="AD229" s="177"/>
      <c r="AE229" s="177">
        <f t="shared" si="422"/>
        <v>0.4595588235294118</v>
      </c>
      <c r="AF229" s="555">
        <f t="shared" si="423"/>
        <v>314.31111111111119</v>
      </c>
      <c r="AG229" s="538">
        <f t="shared" si="424"/>
        <v>2.8952205882352939E-2</v>
      </c>
      <c r="AI229" s="177">
        <f t="shared" si="425"/>
        <v>0.2842936108020318</v>
      </c>
      <c r="AJ229" s="177">
        <f t="shared" si="426"/>
        <v>0.3</v>
      </c>
      <c r="AK229" s="177">
        <f t="shared" si="427"/>
        <v>1.1796063492063493</v>
      </c>
      <c r="AM229" s="555">
        <f t="shared" si="428"/>
        <v>26.000000000000004</v>
      </c>
      <c r="AN229" s="469">
        <f t="shared" si="429"/>
        <v>314.31111111111119</v>
      </c>
      <c r="AP229">
        <f t="shared" si="430"/>
        <v>26.000000000000004</v>
      </c>
      <c r="AQ229">
        <f t="shared" si="431"/>
        <v>314.31111111111119</v>
      </c>
      <c r="AS229" s="5">
        <f t="shared" si="364"/>
        <v>3.1815610859728496</v>
      </c>
      <c r="AT229" s="5">
        <f t="shared" si="432"/>
        <v>0.1875</v>
      </c>
      <c r="AU229" s="5">
        <f t="shared" si="304"/>
        <v>2.9940610859728496</v>
      </c>
      <c r="AV229" s="5"/>
      <c r="AW229" s="177">
        <f t="shared" si="305"/>
        <v>5.8933333333333351E-2</v>
      </c>
      <c r="AX229" s="177"/>
      <c r="BA229" s="469">
        <f t="shared" si="433"/>
        <v>5.4827721650935404</v>
      </c>
      <c r="BB229" s="469">
        <f t="shared" si="434"/>
        <v>9.2514001666666693E-2</v>
      </c>
      <c r="BC229" s="5">
        <f t="shared" si="359"/>
        <v>1.8019812091503259E-2</v>
      </c>
      <c r="BD229" s="469">
        <f t="shared" si="435"/>
        <v>0</v>
      </c>
      <c r="BQ229" s="538">
        <f t="shared" si="436"/>
        <v>9.9320000000000016E-3</v>
      </c>
      <c r="CG229" s="571">
        <f t="shared" si="437"/>
        <v>-50</v>
      </c>
      <c r="CH229">
        <f t="shared" si="438"/>
        <v>-50</v>
      </c>
    </row>
    <row r="230" spans="5:86" x14ac:dyDescent="0.25">
      <c r="E230" s="174">
        <v>14</v>
      </c>
      <c r="F230" s="221">
        <f t="shared" si="439"/>
        <v>2.8000000000000004E-2</v>
      </c>
      <c r="G230" s="221"/>
      <c r="H230" s="221">
        <f t="shared" si="404"/>
        <v>0.44800000000000006</v>
      </c>
      <c r="I230" s="551">
        <f t="shared" si="405"/>
        <v>48</v>
      </c>
      <c r="J230" s="451">
        <f t="shared" si="406"/>
        <v>19.584</v>
      </c>
      <c r="K230" s="451">
        <f t="shared" si="407"/>
        <v>67.584000000000003</v>
      </c>
      <c r="L230" s="451"/>
      <c r="M230" s="221">
        <f t="shared" si="408"/>
        <v>0.28977272727272724</v>
      </c>
      <c r="N230" s="176">
        <f t="shared" si="409"/>
        <v>9.6890727272727268</v>
      </c>
      <c r="O230" s="176">
        <f t="shared" si="363"/>
        <v>0.44800000000000006</v>
      </c>
      <c r="P230" s="221">
        <f t="shared" si="410"/>
        <v>0.60556704545454543</v>
      </c>
      <c r="Q230" s="221">
        <f t="shared" si="411"/>
        <v>16</v>
      </c>
      <c r="R230" s="221"/>
      <c r="S230" s="176">
        <f t="shared" si="412"/>
        <v>1117.1543115448667</v>
      </c>
      <c r="T230" s="176">
        <f t="shared" si="413"/>
        <v>16</v>
      </c>
      <c r="U230" s="221">
        <f t="shared" si="414"/>
        <v>7.1575889615105318E-2</v>
      </c>
      <c r="V230" s="221">
        <f t="shared" si="415"/>
        <v>4.4734931009440822E-2</v>
      </c>
      <c r="W230" s="221">
        <f t="shared" si="416"/>
        <v>0.10964443874862947</v>
      </c>
      <c r="X230" s="201">
        <f t="shared" si="417"/>
        <v>350</v>
      </c>
      <c r="Y230" s="451">
        <f t="shared" si="418"/>
        <v>350</v>
      </c>
      <c r="AA230" s="221">
        <f t="shared" si="419"/>
        <v>1.3246753246753247</v>
      </c>
      <c r="AB230" s="177">
        <f t="shared" si="420"/>
        <v>2.029220779220779</v>
      </c>
      <c r="AC230" s="177">
        <f t="shared" si="421"/>
        <v>0.5644923258559621</v>
      </c>
      <c r="AD230" s="177"/>
      <c r="AE230" s="177">
        <f t="shared" si="422"/>
        <v>0.4595588235294118</v>
      </c>
      <c r="AF230" s="555">
        <f t="shared" si="423"/>
        <v>338.48888888888899</v>
      </c>
      <c r="AG230" s="538">
        <f t="shared" si="424"/>
        <v>2.8952205882352939E-2</v>
      </c>
      <c r="AI230" s="177">
        <f t="shared" si="425"/>
        <v>0.29502542263337239</v>
      </c>
      <c r="AJ230" s="177">
        <f t="shared" si="426"/>
        <v>0.3</v>
      </c>
      <c r="AK230" s="177">
        <f t="shared" si="427"/>
        <v>1.1934222222222224</v>
      </c>
      <c r="AM230" s="555">
        <f t="shared" si="428"/>
        <v>28.000000000000004</v>
      </c>
      <c r="AN230" s="469">
        <f t="shared" si="429"/>
        <v>338.48888888888899</v>
      </c>
      <c r="AP230">
        <f t="shared" si="430"/>
        <v>28.000000000000004</v>
      </c>
      <c r="AQ230">
        <f t="shared" si="431"/>
        <v>338.48888888888899</v>
      </c>
      <c r="AS230" s="5">
        <f t="shared" si="364"/>
        <v>2.9543067226890747</v>
      </c>
      <c r="AT230" s="5">
        <f t="shared" si="432"/>
        <v>0.1875</v>
      </c>
      <c r="AU230" s="5">
        <f t="shared" si="304"/>
        <v>2.7668067226890747</v>
      </c>
      <c r="AV230" s="5"/>
      <c r="AW230" s="177">
        <f t="shared" si="305"/>
        <v>6.3466666666666685E-2</v>
      </c>
      <c r="AX230" s="177"/>
      <c r="BA230" s="469">
        <f t="shared" si="433"/>
        <v>5.4827721650935404</v>
      </c>
      <c r="BB230" s="469">
        <f t="shared" si="434"/>
        <v>0.10083280666666669</v>
      </c>
      <c r="BC230" s="5">
        <f t="shared" si="359"/>
        <v>1.7933006535947708E-2</v>
      </c>
      <c r="BD230" s="469">
        <f t="shared" si="435"/>
        <v>0</v>
      </c>
      <c r="BQ230" s="538">
        <f t="shared" si="436"/>
        <v>1.0696000000000001E-2</v>
      </c>
      <c r="CG230" s="571">
        <f t="shared" si="437"/>
        <v>-50</v>
      </c>
      <c r="CH230">
        <f t="shared" si="438"/>
        <v>-50</v>
      </c>
    </row>
    <row r="231" spans="5:86" x14ac:dyDescent="0.25">
      <c r="E231" s="174">
        <v>15</v>
      </c>
      <c r="F231" s="221">
        <f t="shared" si="439"/>
        <v>0.03</v>
      </c>
      <c r="G231" s="221"/>
      <c r="H231" s="221">
        <f t="shared" si="404"/>
        <v>0.48</v>
      </c>
      <c r="I231" s="551">
        <f t="shared" si="405"/>
        <v>48</v>
      </c>
      <c r="J231" s="451">
        <f t="shared" si="406"/>
        <v>19.584</v>
      </c>
      <c r="K231" s="451">
        <f t="shared" si="407"/>
        <v>67.584000000000003</v>
      </c>
      <c r="L231" s="451"/>
      <c r="M231" s="221">
        <f t="shared" si="408"/>
        <v>0.28977272727272724</v>
      </c>
      <c r="N231" s="176">
        <f t="shared" si="409"/>
        <v>9.6890727272727268</v>
      </c>
      <c r="O231" s="176">
        <f t="shared" si="363"/>
        <v>0.48</v>
      </c>
      <c r="P231" s="221">
        <f t="shared" si="410"/>
        <v>0.60556704545454543</v>
      </c>
      <c r="Q231" s="221">
        <f t="shared" si="411"/>
        <v>16</v>
      </c>
      <c r="R231" s="221"/>
      <c r="S231" s="176">
        <f t="shared" si="412"/>
        <v>1040.0123037609749</v>
      </c>
      <c r="T231" s="176">
        <f t="shared" si="413"/>
        <v>16</v>
      </c>
      <c r="U231" s="221">
        <f t="shared" si="414"/>
        <v>7.6688453159041395E-2</v>
      </c>
      <c r="V231" s="221">
        <f t="shared" si="415"/>
        <v>4.793028322440087E-2</v>
      </c>
      <c r="W231" s="221">
        <f t="shared" si="416"/>
        <v>0.11747618437353155</v>
      </c>
      <c r="X231" s="201">
        <f t="shared" si="417"/>
        <v>350</v>
      </c>
      <c r="Y231" s="451">
        <f t="shared" si="418"/>
        <v>350</v>
      </c>
      <c r="AA231" s="221">
        <f t="shared" si="419"/>
        <v>1.3246753246753247</v>
      </c>
      <c r="AB231" s="177">
        <f t="shared" si="420"/>
        <v>2.029220779220779</v>
      </c>
      <c r="AC231" s="177">
        <f t="shared" si="421"/>
        <v>0.5644923258559621</v>
      </c>
      <c r="AD231" s="177"/>
      <c r="AE231" s="177">
        <f t="shared" si="422"/>
        <v>0.4595588235294118</v>
      </c>
      <c r="AF231" s="555">
        <f t="shared" si="423"/>
        <v>362.66666666666669</v>
      </c>
      <c r="AG231" s="538">
        <f t="shared" si="424"/>
        <v>2.8952205882352939E-2</v>
      </c>
      <c r="AI231" s="177">
        <f t="shared" si="425"/>
        <v>0.30538032493456885</v>
      </c>
      <c r="AJ231" s="177">
        <f t="shared" si="426"/>
        <v>0.30538032493456885</v>
      </c>
      <c r="AK231" s="177">
        <f t="shared" si="427"/>
        <v>1.2035868832897125</v>
      </c>
      <c r="AM231" s="555">
        <f t="shared" si="428"/>
        <v>30</v>
      </c>
      <c r="AN231" s="469">
        <f t="shared" si="429"/>
        <v>350</v>
      </c>
      <c r="AP231">
        <f t="shared" si="430"/>
        <v>30</v>
      </c>
      <c r="AQ231">
        <f t="shared" si="431"/>
        <v>350</v>
      </c>
      <c r="AS231" s="5">
        <f t="shared" si="364"/>
        <v>2.8571428571428572</v>
      </c>
      <c r="AT231" s="5">
        <f t="shared" si="432"/>
        <v>0.19086270308410555</v>
      </c>
      <c r="AU231" s="5">
        <f t="shared" si="304"/>
        <v>2.6662801540587515</v>
      </c>
      <c r="AV231" s="5"/>
      <c r="AW231" s="177">
        <f t="shared" si="305"/>
        <v>6.6801946079436944E-2</v>
      </c>
      <c r="AX231" s="177"/>
      <c r="BA231" s="469">
        <f t="shared" si="433"/>
        <v>5.4827721650935404</v>
      </c>
      <c r="BB231" s="469">
        <f t="shared" si="434"/>
        <v>0.109323375</v>
      </c>
      <c r="BC231" s="5">
        <f t="shared" si="359"/>
        <v>1.8515834403185775E-2</v>
      </c>
      <c r="BD231" s="469">
        <f t="shared" si="435"/>
        <v>0</v>
      </c>
      <c r="BQ231" s="538">
        <f t="shared" si="436"/>
        <v>1.146E-2</v>
      </c>
      <c r="CG231" s="571">
        <f t="shared" si="437"/>
        <v>-50</v>
      </c>
      <c r="CH231">
        <f t="shared" si="438"/>
        <v>-50</v>
      </c>
    </row>
    <row r="232" spans="5:86" x14ac:dyDescent="0.25">
      <c r="E232" s="174">
        <v>16</v>
      </c>
      <c r="F232" s="221">
        <f t="shared" si="439"/>
        <v>3.2000000000000001E-2</v>
      </c>
      <c r="G232" s="221"/>
      <c r="H232" s="221">
        <f t="shared" si="404"/>
        <v>0.51200000000000001</v>
      </c>
      <c r="I232" s="551">
        <f t="shared" si="405"/>
        <v>48</v>
      </c>
      <c r="J232" s="451">
        <f t="shared" si="406"/>
        <v>19.584</v>
      </c>
      <c r="K232" s="451">
        <f t="shared" si="407"/>
        <v>67.584000000000003</v>
      </c>
      <c r="L232" s="451"/>
      <c r="M232" s="221">
        <f t="shared" si="408"/>
        <v>0.28977272727272724</v>
      </c>
      <c r="N232" s="176">
        <f t="shared" si="409"/>
        <v>9.6890727272727268</v>
      </c>
      <c r="O232" s="176">
        <f t="shared" si="363"/>
        <v>0.51200000000000001</v>
      </c>
      <c r="P232" s="221">
        <f t="shared" si="410"/>
        <v>0.60556704545454543</v>
      </c>
      <c r="Q232" s="221">
        <f t="shared" si="411"/>
        <v>16</v>
      </c>
      <c r="R232" s="221"/>
      <c r="S232" s="176">
        <f t="shared" si="412"/>
        <v>972.51315744627129</v>
      </c>
      <c r="T232" s="176">
        <f t="shared" si="413"/>
        <v>16</v>
      </c>
      <c r="U232" s="221">
        <f t="shared" si="414"/>
        <v>8.1801016702977486E-2</v>
      </c>
      <c r="V232" s="221">
        <f t="shared" si="415"/>
        <v>5.1125635439360939E-2</v>
      </c>
      <c r="W232" s="221">
        <f t="shared" si="416"/>
        <v>0.12530792999843365</v>
      </c>
      <c r="X232" s="201">
        <f t="shared" si="417"/>
        <v>350</v>
      </c>
      <c r="Y232" s="451">
        <f t="shared" si="418"/>
        <v>350</v>
      </c>
      <c r="AA232" s="221">
        <f t="shared" si="419"/>
        <v>1.3246753246753247</v>
      </c>
      <c r="AB232" s="177">
        <f t="shared" si="420"/>
        <v>2.029220779220779</v>
      </c>
      <c r="AC232" s="177">
        <f t="shared" si="421"/>
        <v>0.5644923258559621</v>
      </c>
      <c r="AD232" s="177"/>
      <c r="AE232" s="177">
        <f t="shared" si="422"/>
        <v>0.4595588235294118</v>
      </c>
      <c r="AF232" s="555">
        <f t="shared" si="423"/>
        <v>386.84444444444449</v>
      </c>
      <c r="AG232" s="538">
        <f t="shared" si="424"/>
        <v>2.8952205882352939E-2</v>
      </c>
      <c r="AI232" s="177">
        <f t="shared" si="425"/>
        <v>0.31539544339493192</v>
      </c>
      <c r="AJ232" s="177">
        <f t="shared" si="426"/>
        <v>0.31539544339493192</v>
      </c>
      <c r="AK232" s="177">
        <f t="shared" si="427"/>
        <v>1.2102636289299546</v>
      </c>
      <c r="AM232" s="555">
        <f t="shared" si="428"/>
        <v>32</v>
      </c>
      <c r="AN232" s="469">
        <f t="shared" si="429"/>
        <v>350</v>
      </c>
      <c r="AP232">
        <f t="shared" si="430"/>
        <v>32</v>
      </c>
      <c r="AQ232">
        <f t="shared" si="431"/>
        <v>350</v>
      </c>
      <c r="AS232" s="5">
        <f t="shared" si="364"/>
        <v>2.8571428571428572</v>
      </c>
      <c r="AT232" s="5">
        <f t="shared" si="432"/>
        <v>0.19712215212183246</v>
      </c>
      <c r="AU232" s="5">
        <f t="shared" si="304"/>
        <v>2.6600207050210249</v>
      </c>
      <c r="AV232" s="5"/>
      <c r="AW232" s="177">
        <f t="shared" si="305"/>
        <v>6.8992753242641355E-2</v>
      </c>
      <c r="AX232" s="177"/>
      <c r="BA232" s="469">
        <f t="shared" si="433"/>
        <v>5.4827721650935404</v>
      </c>
      <c r="BB232" s="469">
        <f t="shared" si="434"/>
        <v>0.11798570666666666</v>
      </c>
      <c r="BC232" s="5">
        <f t="shared" si="359"/>
        <v>1.9703857074229812E-2</v>
      </c>
      <c r="BD232" s="469">
        <f t="shared" si="435"/>
        <v>0</v>
      </c>
      <c r="BQ232" s="538">
        <f t="shared" si="436"/>
        <v>1.2224E-2</v>
      </c>
      <c r="CG232" s="571">
        <f t="shared" si="437"/>
        <v>-50</v>
      </c>
      <c r="CH232">
        <f t="shared" si="438"/>
        <v>-50</v>
      </c>
    </row>
    <row r="233" spans="5:86" x14ac:dyDescent="0.25">
      <c r="E233" s="174">
        <v>17</v>
      </c>
      <c r="F233" s="221">
        <f t="shared" si="439"/>
        <v>3.4000000000000002E-2</v>
      </c>
      <c r="G233" s="221"/>
      <c r="H233" s="221">
        <f t="shared" si="404"/>
        <v>0.54400000000000004</v>
      </c>
      <c r="I233" s="551">
        <f t="shared" si="405"/>
        <v>48</v>
      </c>
      <c r="J233" s="451">
        <f t="shared" si="406"/>
        <v>19.584</v>
      </c>
      <c r="K233" s="451">
        <f t="shared" si="407"/>
        <v>67.584000000000003</v>
      </c>
      <c r="L233" s="451"/>
      <c r="M233" s="221">
        <f t="shared" si="408"/>
        <v>0.28977272727272724</v>
      </c>
      <c r="N233" s="176">
        <f t="shared" si="409"/>
        <v>9.6890727272727268</v>
      </c>
      <c r="O233" s="176">
        <f t="shared" si="363"/>
        <v>0.54400000000000004</v>
      </c>
      <c r="P233" s="221">
        <f t="shared" si="410"/>
        <v>0.60556704545454543</v>
      </c>
      <c r="Q233" s="221">
        <f t="shared" si="411"/>
        <v>16</v>
      </c>
      <c r="R233" s="221"/>
      <c r="S233" s="176">
        <f t="shared" si="412"/>
        <v>912.9551919613325</v>
      </c>
      <c r="T233" s="176">
        <f t="shared" si="413"/>
        <v>16</v>
      </c>
      <c r="U233" s="221">
        <f t="shared" si="414"/>
        <v>8.6913580246913591E-2</v>
      </c>
      <c r="V233" s="221">
        <f t="shared" si="415"/>
        <v>5.4320987654320994E-2</v>
      </c>
      <c r="W233" s="221">
        <f t="shared" si="416"/>
        <v>0.13313967562333578</v>
      </c>
      <c r="X233" s="201">
        <f t="shared" si="417"/>
        <v>350</v>
      </c>
      <c r="Y233" s="451">
        <f t="shared" si="418"/>
        <v>350</v>
      </c>
      <c r="AA233" s="221">
        <f t="shared" si="419"/>
        <v>1.3246753246753247</v>
      </c>
      <c r="AB233" s="177">
        <f t="shared" si="420"/>
        <v>2.029220779220779</v>
      </c>
      <c r="AC233" s="177">
        <f t="shared" si="421"/>
        <v>0.5644923258559621</v>
      </c>
      <c r="AD233" s="177"/>
      <c r="AE233" s="177">
        <f t="shared" si="422"/>
        <v>0.4595588235294118</v>
      </c>
      <c r="AF233" s="555">
        <f t="shared" si="423"/>
        <v>411.0222222222223</v>
      </c>
      <c r="AG233" s="538">
        <f t="shared" si="424"/>
        <v>2.8952205882352939E-2</v>
      </c>
      <c r="AI233" s="177">
        <f t="shared" si="425"/>
        <v>0.32510218173895505</v>
      </c>
      <c r="AJ233" s="177">
        <f t="shared" si="426"/>
        <v>0.32510218173895505</v>
      </c>
      <c r="AK233" s="177">
        <f t="shared" si="427"/>
        <v>1.21673478782597</v>
      </c>
      <c r="AM233" s="555">
        <f t="shared" si="428"/>
        <v>34</v>
      </c>
      <c r="AN233" s="469">
        <f t="shared" si="429"/>
        <v>350</v>
      </c>
      <c r="AP233">
        <f t="shared" si="430"/>
        <v>34</v>
      </c>
      <c r="AQ233">
        <f t="shared" si="431"/>
        <v>350</v>
      </c>
      <c r="AS233" s="5">
        <f t="shared" si="364"/>
        <v>2.8571428571428572</v>
      </c>
      <c r="AT233" s="5">
        <f t="shared" si="432"/>
        <v>0.2031888635868469</v>
      </c>
      <c r="AU233" s="5">
        <f t="shared" si="304"/>
        <v>2.6539539935560104</v>
      </c>
      <c r="AV233" s="5"/>
      <c r="AW233" s="177">
        <f t="shared" si="305"/>
        <v>7.1116102255396413E-2</v>
      </c>
      <c r="AX233" s="177"/>
      <c r="BA233" s="469">
        <f t="shared" si="433"/>
        <v>5.4827721650935404</v>
      </c>
      <c r="BB233" s="469">
        <f t="shared" si="434"/>
        <v>0.12681980166666668</v>
      </c>
      <c r="BC233" s="5">
        <f t="shared" si="359"/>
        <v>2.0887600875209338E-2</v>
      </c>
      <c r="BD233" s="469">
        <f t="shared" si="435"/>
        <v>0</v>
      </c>
      <c r="BQ233" s="538">
        <f t="shared" si="436"/>
        <v>1.2988E-2</v>
      </c>
      <c r="CG233" s="571">
        <f t="shared" si="437"/>
        <v>-50</v>
      </c>
      <c r="CH233">
        <f t="shared" si="438"/>
        <v>-50</v>
      </c>
    </row>
    <row r="234" spans="5:86" x14ac:dyDescent="0.25">
      <c r="E234" s="174">
        <v>18</v>
      </c>
      <c r="F234" s="221">
        <f t="shared" si="439"/>
        <v>3.5999999999999997E-2</v>
      </c>
      <c r="G234" s="221"/>
      <c r="H234" s="221">
        <f t="shared" si="404"/>
        <v>0.57599999999999996</v>
      </c>
      <c r="I234" s="551">
        <f t="shared" si="405"/>
        <v>48</v>
      </c>
      <c r="J234" s="451">
        <f t="shared" si="406"/>
        <v>19.584</v>
      </c>
      <c r="K234" s="451">
        <f t="shared" si="407"/>
        <v>67.584000000000003</v>
      </c>
      <c r="L234" s="451"/>
      <c r="M234" s="221">
        <f t="shared" si="408"/>
        <v>0.28977272727272724</v>
      </c>
      <c r="N234" s="176">
        <f t="shared" si="409"/>
        <v>9.6890727272727268</v>
      </c>
      <c r="O234" s="176">
        <f t="shared" si="363"/>
        <v>0.57599999999999996</v>
      </c>
      <c r="P234" s="221">
        <f t="shared" si="410"/>
        <v>0.60556704545454543</v>
      </c>
      <c r="Q234" s="221">
        <f t="shared" si="411"/>
        <v>16</v>
      </c>
      <c r="R234" s="221"/>
      <c r="S234" s="176">
        <f t="shared" si="412"/>
        <v>860.01487792757041</v>
      </c>
      <c r="T234" s="176">
        <f t="shared" si="413"/>
        <v>16</v>
      </c>
      <c r="U234" s="221">
        <f t="shared" si="414"/>
        <v>9.2026143790849668E-2</v>
      </c>
      <c r="V234" s="221">
        <f t="shared" si="415"/>
        <v>5.7516339869281043E-2</v>
      </c>
      <c r="W234" s="221">
        <f t="shared" si="416"/>
        <v>0.14097142124823783</v>
      </c>
      <c r="X234" s="201">
        <f t="shared" si="417"/>
        <v>350</v>
      </c>
      <c r="Y234" s="451">
        <f t="shared" si="418"/>
        <v>350</v>
      </c>
      <c r="AA234" s="221">
        <f t="shared" si="419"/>
        <v>1.3246753246753247</v>
      </c>
      <c r="AB234" s="177">
        <f t="shared" si="420"/>
        <v>2.029220779220779</v>
      </c>
      <c r="AC234" s="177">
        <f t="shared" si="421"/>
        <v>0.5644923258559621</v>
      </c>
      <c r="AD234" s="177"/>
      <c r="AE234" s="177">
        <f t="shared" si="422"/>
        <v>0.4595588235294118</v>
      </c>
      <c r="AF234" s="555">
        <f t="shared" si="423"/>
        <v>435.2</v>
      </c>
      <c r="AG234" s="538">
        <f t="shared" si="424"/>
        <v>2.8952205882352939E-2</v>
      </c>
      <c r="AI234" s="177">
        <f t="shared" si="425"/>
        <v>0.33452738516984137</v>
      </c>
      <c r="AJ234" s="177">
        <f t="shared" si="426"/>
        <v>0.33452738516984137</v>
      </c>
      <c r="AK234" s="177">
        <f t="shared" si="427"/>
        <v>1.2230182567798942</v>
      </c>
      <c r="AM234" s="555">
        <f t="shared" si="428"/>
        <v>36</v>
      </c>
      <c r="AN234" s="469">
        <f t="shared" si="429"/>
        <v>350</v>
      </c>
      <c r="AP234">
        <f t="shared" si="430"/>
        <v>36</v>
      </c>
      <c r="AQ234">
        <f t="shared" si="431"/>
        <v>350</v>
      </c>
      <c r="AS234" s="5">
        <f t="shared" si="364"/>
        <v>2.8571428571428572</v>
      </c>
      <c r="AT234" s="5">
        <f t="shared" si="432"/>
        <v>0.20907961573115086</v>
      </c>
      <c r="AU234" s="5">
        <f t="shared" ref="AU234:AU297" si="440">AS234-AT234</f>
        <v>2.6480632414117062</v>
      </c>
      <c r="AV234" s="5"/>
      <c r="AW234" s="177">
        <f t="shared" ref="AW234:AW297" si="441">AT234/AS234</f>
        <v>7.31778655059028E-2</v>
      </c>
      <c r="AX234" s="177"/>
      <c r="BA234" s="469">
        <f t="shared" si="433"/>
        <v>5.4827721650935404</v>
      </c>
      <c r="BB234" s="469">
        <f t="shared" si="434"/>
        <v>0.13582565999999999</v>
      </c>
      <c r="BC234" s="5">
        <f t="shared" si="359"/>
        <v>2.206719367843088E-2</v>
      </c>
      <c r="BD234" s="469">
        <f t="shared" si="435"/>
        <v>0</v>
      </c>
      <c r="BQ234" s="538">
        <f t="shared" si="436"/>
        <v>1.3751999999999999E-2</v>
      </c>
      <c r="CG234" s="571">
        <f t="shared" si="437"/>
        <v>-50</v>
      </c>
      <c r="CH234">
        <f t="shared" si="438"/>
        <v>-50</v>
      </c>
    </row>
    <row r="235" spans="5:86" x14ac:dyDescent="0.25">
      <c r="E235" s="174">
        <v>19</v>
      </c>
      <c r="F235" s="221">
        <f t="shared" si="439"/>
        <v>3.8000000000000006E-2</v>
      </c>
      <c r="G235" s="221"/>
      <c r="H235" s="221">
        <f t="shared" si="404"/>
        <v>0.6080000000000001</v>
      </c>
      <c r="I235" s="551">
        <f t="shared" si="405"/>
        <v>48</v>
      </c>
      <c r="J235" s="451">
        <f t="shared" si="406"/>
        <v>19.584</v>
      </c>
      <c r="K235" s="451">
        <f t="shared" si="407"/>
        <v>67.584000000000003</v>
      </c>
      <c r="L235" s="451"/>
      <c r="M235" s="221">
        <f t="shared" si="408"/>
        <v>0.28977272727272724</v>
      </c>
      <c r="N235" s="176">
        <f t="shared" si="409"/>
        <v>9.6890727272727268</v>
      </c>
      <c r="O235" s="176">
        <f t="shared" si="363"/>
        <v>0.6080000000000001</v>
      </c>
      <c r="P235" s="221">
        <f t="shared" si="410"/>
        <v>0.60556704545454543</v>
      </c>
      <c r="Q235" s="221">
        <f t="shared" si="411"/>
        <v>16</v>
      </c>
      <c r="R235" s="221"/>
      <c r="S235" s="176">
        <f t="shared" si="412"/>
        <v>812.64732373762763</v>
      </c>
      <c r="T235" s="176">
        <f t="shared" si="413"/>
        <v>16</v>
      </c>
      <c r="U235" s="221">
        <f t="shared" si="414"/>
        <v>9.7138707334785787E-2</v>
      </c>
      <c r="V235" s="221">
        <f t="shared" si="415"/>
        <v>6.0711692084241119E-2</v>
      </c>
      <c r="W235" s="221">
        <f t="shared" si="416"/>
        <v>0.14880316687314002</v>
      </c>
      <c r="X235" s="201">
        <f t="shared" si="417"/>
        <v>350</v>
      </c>
      <c r="Y235" s="451">
        <f t="shared" si="418"/>
        <v>350</v>
      </c>
      <c r="AA235" s="221">
        <f t="shared" si="419"/>
        <v>1.3246753246753247</v>
      </c>
      <c r="AB235" s="177">
        <f t="shared" si="420"/>
        <v>2.029220779220779</v>
      </c>
      <c r="AC235" s="177">
        <f t="shared" si="421"/>
        <v>0.5644923258559621</v>
      </c>
      <c r="AD235" s="177"/>
      <c r="AE235" s="177">
        <f t="shared" si="422"/>
        <v>0.4595588235294118</v>
      </c>
      <c r="AF235" s="555">
        <f t="shared" si="423"/>
        <v>459.37777777777785</v>
      </c>
      <c r="AG235" s="538">
        <f t="shared" si="424"/>
        <v>2.8952205882352939E-2</v>
      </c>
      <c r="AI235" s="177">
        <f t="shared" si="425"/>
        <v>0.34369421625292779</v>
      </c>
      <c r="AJ235" s="177">
        <f t="shared" si="426"/>
        <v>0.34369421625292779</v>
      </c>
      <c r="AK235" s="177">
        <f t="shared" si="427"/>
        <v>1.2291294775019519</v>
      </c>
      <c r="AM235" s="555">
        <f t="shared" si="428"/>
        <v>38.000000000000007</v>
      </c>
      <c r="AN235" s="469">
        <f t="shared" si="429"/>
        <v>350</v>
      </c>
      <c r="AP235">
        <f t="shared" si="430"/>
        <v>38.000000000000007</v>
      </c>
      <c r="AQ235">
        <f t="shared" si="431"/>
        <v>350</v>
      </c>
      <c r="AS235" s="5">
        <f t="shared" si="364"/>
        <v>2.8571428571428572</v>
      </c>
      <c r="AT235" s="5">
        <f t="shared" si="432"/>
        <v>0.21480888515807986</v>
      </c>
      <c r="AU235" s="5">
        <f t="shared" si="440"/>
        <v>2.6423339719847774</v>
      </c>
      <c r="AV235" s="5"/>
      <c r="AW235" s="177">
        <f t="shared" si="441"/>
        <v>7.5183109805327955E-2</v>
      </c>
      <c r="AX235" s="177"/>
      <c r="BA235" s="469">
        <f t="shared" si="433"/>
        <v>5.4827721650935404</v>
      </c>
      <c r="BB235" s="469">
        <f t="shared" si="434"/>
        <v>0.14500328166666671</v>
      </c>
      <c r="BC235" s="5">
        <f t="shared" si="359"/>
        <v>2.3242752531347586E-2</v>
      </c>
      <c r="BD235" s="469">
        <f t="shared" si="435"/>
        <v>0</v>
      </c>
      <c r="BQ235" s="538">
        <f t="shared" si="436"/>
        <v>1.4516000000000003E-2</v>
      </c>
      <c r="CG235" s="571">
        <f t="shared" si="437"/>
        <v>-50</v>
      </c>
      <c r="CH235">
        <f t="shared" si="438"/>
        <v>-50</v>
      </c>
    </row>
    <row r="236" spans="5:86" x14ac:dyDescent="0.25">
      <c r="E236" s="174">
        <v>20</v>
      </c>
      <c r="F236" s="221">
        <f t="shared" si="439"/>
        <v>4.0000000000000008E-2</v>
      </c>
      <c r="G236" s="221"/>
      <c r="H236" s="221">
        <f t="shared" si="404"/>
        <v>0.64000000000000012</v>
      </c>
      <c r="I236" s="551">
        <f t="shared" si="405"/>
        <v>48</v>
      </c>
      <c r="J236" s="451">
        <f t="shared" si="406"/>
        <v>19.584</v>
      </c>
      <c r="K236" s="451">
        <f t="shared" si="407"/>
        <v>67.584000000000003</v>
      </c>
      <c r="L236" s="451"/>
      <c r="M236" s="221">
        <f t="shared" si="408"/>
        <v>0.28977272727272724</v>
      </c>
      <c r="N236" s="176">
        <f t="shared" si="409"/>
        <v>9.6890727272727268</v>
      </c>
      <c r="O236" s="176">
        <f t="shared" si="363"/>
        <v>0.64000000000000012</v>
      </c>
      <c r="P236" s="221">
        <f t="shared" si="410"/>
        <v>0.60556704545454543</v>
      </c>
      <c r="Q236" s="221">
        <f t="shared" si="411"/>
        <v>16</v>
      </c>
      <c r="R236" s="221"/>
      <c r="S236" s="176">
        <f t="shared" si="412"/>
        <v>770.01661611266047</v>
      </c>
      <c r="T236" s="176">
        <f t="shared" si="413"/>
        <v>16</v>
      </c>
      <c r="U236" s="221">
        <f t="shared" si="414"/>
        <v>0.10225127087872188</v>
      </c>
      <c r="V236" s="221">
        <f t="shared" si="415"/>
        <v>6.3907044299201174E-2</v>
      </c>
      <c r="W236" s="221">
        <f t="shared" si="416"/>
        <v>0.15663491249804209</v>
      </c>
      <c r="X236" s="201">
        <f t="shared" si="417"/>
        <v>350</v>
      </c>
      <c r="Y236" s="451">
        <f t="shared" si="418"/>
        <v>350</v>
      </c>
      <c r="AA236" s="221">
        <f t="shared" si="419"/>
        <v>1.3246753246753247</v>
      </c>
      <c r="AB236" s="177">
        <f t="shared" si="420"/>
        <v>2.029220779220779</v>
      </c>
      <c r="AC236" s="177">
        <f t="shared" si="421"/>
        <v>0.5644923258559621</v>
      </c>
      <c r="AD236" s="177"/>
      <c r="AE236" s="177">
        <f t="shared" si="422"/>
        <v>0.4595588235294118</v>
      </c>
      <c r="AF236" s="555">
        <f t="shared" si="423"/>
        <v>483.55555555555566</v>
      </c>
      <c r="AG236" s="538">
        <f t="shared" si="424"/>
        <v>2.8952205882352939E-2</v>
      </c>
      <c r="AI236" s="177">
        <f t="shared" si="425"/>
        <v>0.35262282561237746</v>
      </c>
      <c r="AJ236" s="177">
        <f t="shared" si="426"/>
        <v>0.35262282561237746</v>
      </c>
      <c r="AK236" s="177">
        <f t="shared" si="427"/>
        <v>1.2350818837415849</v>
      </c>
      <c r="AM236" s="555">
        <f t="shared" si="428"/>
        <v>40.000000000000007</v>
      </c>
      <c r="AN236" s="469">
        <f t="shared" si="429"/>
        <v>350</v>
      </c>
      <c r="AP236">
        <f t="shared" si="430"/>
        <v>40.000000000000007</v>
      </c>
      <c r="AQ236">
        <f t="shared" si="431"/>
        <v>350</v>
      </c>
      <c r="AS236" s="5">
        <f t="shared" si="364"/>
        <v>2.8571428571428572</v>
      </c>
      <c r="AT236" s="5">
        <f t="shared" si="432"/>
        <v>0.22038926600773592</v>
      </c>
      <c r="AU236" s="5">
        <f t="shared" si="440"/>
        <v>2.6367535911351214</v>
      </c>
      <c r="AV236" s="5"/>
      <c r="AW236" s="177">
        <f t="shared" si="441"/>
        <v>7.7136243102707572E-2</v>
      </c>
      <c r="AX236" s="177"/>
      <c r="BA236" s="469">
        <f t="shared" si="433"/>
        <v>5.4827721650935404</v>
      </c>
      <c r="BB236" s="469">
        <f t="shared" si="434"/>
        <v>0.15435266666666672</v>
      </c>
      <c r="BC236" s="5">
        <f t="shared" si="359"/>
        <v>2.4414385103102981E-2</v>
      </c>
      <c r="BD236" s="469">
        <f t="shared" si="435"/>
        <v>0</v>
      </c>
      <c r="BQ236" s="538">
        <f t="shared" si="436"/>
        <v>1.5280000000000004E-2</v>
      </c>
      <c r="CG236" s="571">
        <f t="shared" si="437"/>
        <v>-50</v>
      </c>
      <c r="CH236">
        <f t="shared" si="438"/>
        <v>-50</v>
      </c>
    </row>
    <row r="237" spans="5:86" x14ac:dyDescent="0.25">
      <c r="E237" s="174">
        <v>21</v>
      </c>
      <c r="F237" s="221">
        <f t="shared" si="439"/>
        <v>4.2000000000000003E-2</v>
      </c>
      <c r="G237" s="221"/>
      <c r="H237" s="221">
        <f t="shared" si="404"/>
        <v>0.67200000000000004</v>
      </c>
      <c r="I237" s="551">
        <f t="shared" si="405"/>
        <v>48</v>
      </c>
      <c r="J237" s="451">
        <f t="shared" si="406"/>
        <v>19.584</v>
      </c>
      <c r="K237" s="451">
        <f t="shared" si="407"/>
        <v>67.584000000000003</v>
      </c>
      <c r="L237" s="451"/>
      <c r="M237" s="221">
        <f t="shared" si="408"/>
        <v>0.28977272727272724</v>
      </c>
      <c r="N237" s="176">
        <f t="shared" si="409"/>
        <v>9.6890727272727268</v>
      </c>
      <c r="O237" s="176">
        <f t="shared" si="363"/>
        <v>0.67200000000000004</v>
      </c>
      <c r="P237" s="221">
        <f t="shared" si="410"/>
        <v>0.60556704545454543</v>
      </c>
      <c r="Q237" s="221">
        <f t="shared" si="411"/>
        <v>16</v>
      </c>
      <c r="R237" s="221"/>
      <c r="S237" s="176">
        <f t="shared" si="412"/>
        <v>731.44606335753735</v>
      </c>
      <c r="T237" s="176">
        <f t="shared" si="413"/>
        <v>16</v>
      </c>
      <c r="U237" s="221">
        <f t="shared" si="414"/>
        <v>0.10736383442265797</v>
      </c>
      <c r="V237" s="221">
        <f t="shared" si="415"/>
        <v>6.7102396514161236E-2</v>
      </c>
      <c r="W237" s="221">
        <f t="shared" si="416"/>
        <v>0.1644666581229442</v>
      </c>
      <c r="X237" s="201">
        <f t="shared" si="417"/>
        <v>350</v>
      </c>
      <c r="Y237" s="451">
        <f t="shared" si="418"/>
        <v>350</v>
      </c>
      <c r="AA237" s="221">
        <f t="shared" si="419"/>
        <v>1.3246753246753247</v>
      </c>
      <c r="AB237" s="177">
        <f t="shared" si="420"/>
        <v>2.029220779220779</v>
      </c>
      <c r="AC237" s="177">
        <f t="shared" si="421"/>
        <v>0.5644923258559621</v>
      </c>
      <c r="AD237" s="177"/>
      <c r="AE237" s="177">
        <f t="shared" si="422"/>
        <v>0.4595588235294118</v>
      </c>
      <c r="AF237" s="555">
        <f t="shared" si="423"/>
        <v>507.73333333333341</v>
      </c>
      <c r="AG237" s="538">
        <f t="shared" si="424"/>
        <v>2.8952205882352939E-2</v>
      </c>
      <c r="AI237" s="177">
        <f t="shared" si="425"/>
        <v>0.3613308733003589</v>
      </c>
      <c r="AJ237" s="177">
        <f t="shared" si="426"/>
        <v>0.3613308733003589</v>
      </c>
      <c r="AK237" s="177">
        <f t="shared" si="427"/>
        <v>1.2408872488669058</v>
      </c>
      <c r="AM237" s="555">
        <f t="shared" si="428"/>
        <v>42</v>
      </c>
      <c r="AN237" s="469">
        <f t="shared" si="429"/>
        <v>350</v>
      </c>
      <c r="AP237">
        <f t="shared" si="430"/>
        <v>42</v>
      </c>
      <c r="AQ237">
        <f t="shared" si="431"/>
        <v>350</v>
      </c>
      <c r="AS237" s="5">
        <f t="shared" si="364"/>
        <v>2.8571428571428572</v>
      </c>
      <c r="AT237" s="5">
        <f t="shared" si="432"/>
        <v>0.22583179581272433</v>
      </c>
      <c r="AU237" s="5">
        <f t="shared" si="440"/>
        <v>2.6313110613301327</v>
      </c>
      <c r="AV237" s="5"/>
      <c r="AW237" s="177">
        <f t="shared" si="441"/>
        <v>7.9041128534453511E-2</v>
      </c>
      <c r="AX237" s="177"/>
      <c r="BA237" s="469">
        <f t="shared" si="433"/>
        <v>5.4827721650935404</v>
      </c>
      <c r="BB237" s="469">
        <f t="shared" si="434"/>
        <v>0.16387381500000001</v>
      </c>
      <c r="BC237" s="5">
        <f t="shared" si="359"/>
        <v>2.5582190874042961E-2</v>
      </c>
      <c r="BD237" s="469">
        <f t="shared" si="435"/>
        <v>0</v>
      </c>
      <c r="BQ237" s="538">
        <f t="shared" si="436"/>
        <v>1.6044000000000003E-2</v>
      </c>
      <c r="CG237" s="571">
        <f t="shared" si="437"/>
        <v>-50</v>
      </c>
      <c r="CH237">
        <f t="shared" si="438"/>
        <v>-50</v>
      </c>
    </row>
    <row r="238" spans="5:86" x14ac:dyDescent="0.25">
      <c r="E238" s="174">
        <v>22</v>
      </c>
      <c r="F238" s="221">
        <f t="shared" si="439"/>
        <v>4.4000000000000004E-2</v>
      </c>
      <c r="G238" s="221"/>
      <c r="H238" s="221">
        <f t="shared" si="404"/>
        <v>0.70400000000000007</v>
      </c>
      <c r="I238" s="551">
        <f t="shared" si="405"/>
        <v>48</v>
      </c>
      <c r="J238" s="451">
        <f t="shared" si="406"/>
        <v>19.584</v>
      </c>
      <c r="K238" s="451">
        <f t="shared" si="407"/>
        <v>67.584000000000003</v>
      </c>
      <c r="L238" s="451"/>
      <c r="M238" s="221">
        <f t="shared" si="408"/>
        <v>0.28977272727272724</v>
      </c>
      <c r="N238" s="176">
        <f t="shared" si="409"/>
        <v>9.6890727272727268</v>
      </c>
      <c r="O238" s="176">
        <f t="shared" si="363"/>
        <v>0.70400000000000007</v>
      </c>
      <c r="P238" s="221">
        <f t="shared" si="410"/>
        <v>0.60556704545454543</v>
      </c>
      <c r="Q238" s="221">
        <f t="shared" si="411"/>
        <v>16</v>
      </c>
      <c r="R238" s="221"/>
      <c r="S238" s="176">
        <f t="shared" si="412"/>
        <v>696.38200863735074</v>
      </c>
      <c r="T238" s="176">
        <f t="shared" si="413"/>
        <v>16</v>
      </c>
      <c r="U238" s="221">
        <f t="shared" si="414"/>
        <v>0.11247639796659406</v>
      </c>
      <c r="V238" s="221">
        <f t="shared" si="415"/>
        <v>7.0297748729121284E-2</v>
      </c>
      <c r="W238" s="221">
        <f t="shared" si="416"/>
        <v>0.1722984037478463</v>
      </c>
      <c r="X238" s="201">
        <f t="shared" si="417"/>
        <v>350</v>
      </c>
      <c r="Y238" s="451">
        <f t="shared" si="418"/>
        <v>350</v>
      </c>
      <c r="AA238" s="221">
        <f t="shared" si="419"/>
        <v>1.3246753246753247</v>
      </c>
      <c r="AB238" s="177">
        <f t="shared" si="420"/>
        <v>2.029220779220779</v>
      </c>
      <c r="AC238" s="177">
        <f t="shared" si="421"/>
        <v>0.5644923258559621</v>
      </c>
      <c r="AD238" s="177"/>
      <c r="AE238" s="177">
        <f t="shared" si="422"/>
        <v>0.4595588235294118</v>
      </c>
      <c r="AF238" s="555">
        <f t="shared" si="423"/>
        <v>531.91111111111127</v>
      </c>
      <c r="AG238" s="538">
        <f t="shared" si="424"/>
        <v>2.8952205882352939E-2</v>
      </c>
      <c r="AI238" s="177">
        <f t="shared" si="425"/>
        <v>0.36983393956902183</v>
      </c>
      <c r="AJ238" s="177">
        <f t="shared" si="426"/>
        <v>0.36983393956902183</v>
      </c>
      <c r="AK238" s="177">
        <f t="shared" si="427"/>
        <v>1.2465559597126812</v>
      </c>
      <c r="AM238" s="555">
        <f t="shared" si="428"/>
        <v>44.000000000000007</v>
      </c>
      <c r="AN238" s="469">
        <f t="shared" si="429"/>
        <v>350</v>
      </c>
      <c r="AP238">
        <f t="shared" si="430"/>
        <v>44.000000000000007</v>
      </c>
      <c r="AQ238">
        <f t="shared" si="431"/>
        <v>350</v>
      </c>
      <c r="AS238" s="5">
        <f t="shared" si="364"/>
        <v>2.8571428571428572</v>
      </c>
      <c r="AT238" s="5">
        <f t="shared" si="432"/>
        <v>0.23114621223063866</v>
      </c>
      <c r="AU238" s="5">
        <f t="shared" si="440"/>
        <v>2.6259966449122185</v>
      </c>
      <c r="AV238" s="5"/>
      <c r="AW238" s="177">
        <f t="shared" si="441"/>
        <v>8.0901174280723534E-2</v>
      </c>
      <c r="AX238" s="177"/>
      <c r="BA238" s="469">
        <f t="shared" si="433"/>
        <v>5.4827721650935404</v>
      </c>
      <c r="BB238" s="469">
        <f t="shared" si="434"/>
        <v>0.17356672666666667</v>
      </c>
      <c r="BC238" s="5">
        <f t="shared" si="359"/>
        <v>2.674626212410593E-2</v>
      </c>
      <c r="BD238" s="469">
        <f t="shared" si="435"/>
        <v>0</v>
      </c>
      <c r="BQ238" s="538">
        <f t="shared" si="436"/>
        <v>1.6808E-2</v>
      </c>
      <c r="CG238" s="571">
        <f t="shared" si="437"/>
        <v>-50</v>
      </c>
      <c r="CH238">
        <f t="shared" si="438"/>
        <v>-50</v>
      </c>
    </row>
    <row r="239" spans="5:86" x14ac:dyDescent="0.25">
      <c r="E239" s="174">
        <v>23</v>
      </c>
      <c r="F239" s="221">
        <f t="shared" si="439"/>
        <v>4.6000000000000006E-2</v>
      </c>
      <c r="G239" s="221"/>
      <c r="H239" s="221">
        <f t="shared" si="404"/>
        <v>0.7360000000000001</v>
      </c>
      <c r="I239" s="551">
        <f t="shared" si="405"/>
        <v>48</v>
      </c>
      <c r="J239" s="451">
        <f t="shared" si="406"/>
        <v>19.584</v>
      </c>
      <c r="K239" s="451">
        <f t="shared" si="407"/>
        <v>67.584000000000003</v>
      </c>
      <c r="L239" s="451"/>
      <c r="M239" s="221">
        <f t="shared" si="408"/>
        <v>0.28977272727272724</v>
      </c>
      <c r="N239" s="176">
        <f t="shared" si="409"/>
        <v>9.6890727272727268</v>
      </c>
      <c r="O239" s="176">
        <f t="shared" si="363"/>
        <v>0.7360000000000001</v>
      </c>
      <c r="P239" s="221">
        <f t="shared" si="410"/>
        <v>0.60556704545454543</v>
      </c>
      <c r="Q239" s="221">
        <f t="shared" si="411"/>
        <v>16</v>
      </c>
      <c r="R239" s="221"/>
      <c r="S239" s="176">
        <f t="shared" si="412"/>
        <v>664.36708326875248</v>
      </c>
      <c r="T239" s="176">
        <f t="shared" si="413"/>
        <v>16</v>
      </c>
      <c r="U239" s="221">
        <f t="shared" si="414"/>
        <v>0.11758896151053017</v>
      </c>
      <c r="V239" s="221">
        <f t="shared" si="415"/>
        <v>7.349310094408136E-2</v>
      </c>
      <c r="W239" s="221">
        <f t="shared" si="416"/>
        <v>0.18013014937274843</v>
      </c>
      <c r="X239" s="201">
        <f t="shared" si="417"/>
        <v>350</v>
      </c>
      <c r="Y239" s="451">
        <f t="shared" si="418"/>
        <v>350</v>
      </c>
      <c r="AA239" s="221">
        <f t="shared" si="419"/>
        <v>1.3246753246753247</v>
      </c>
      <c r="AB239" s="177">
        <f t="shared" si="420"/>
        <v>2.029220779220779</v>
      </c>
      <c r="AC239" s="177">
        <f t="shared" si="421"/>
        <v>0.5644923258559621</v>
      </c>
      <c r="AD239" s="177"/>
      <c r="AE239" s="177">
        <f t="shared" si="422"/>
        <v>0.4595588235294118</v>
      </c>
      <c r="AF239" s="555">
        <f t="shared" si="423"/>
        <v>556.08888888888896</v>
      </c>
      <c r="AG239" s="538">
        <f t="shared" si="424"/>
        <v>2.8952205882352939E-2</v>
      </c>
      <c r="AI239" s="177">
        <f t="shared" si="425"/>
        <v>0.37814585243565174</v>
      </c>
      <c r="AJ239" s="177">
        <f t="shared" si="426"/>
        <v>0.37814585243565174</v>
      </c>
      <c r="AK239" s="177">
        <f t="shared" si="427"/>
        <v>1.2520972349571011</v>
      </c>
      <c r="AM239" s="555">
        <f t="shared" si="428"/>
        <v>46.000000000000007</v>
      </c>
      <c r="AN239" s="469">
        <f t="shared" si="429"/>
        <v>350</v>
      </c>
      <c r="AP239">
        <f t="shared" si="430"/>
        <v>46.000000000000007</v>
      </c>
      <c r="AQ239">
        <f t="shared" si="431"/>
        <v>350</v>
      </c>
      <c r="AS239" s="5">
        <f t="shared" si="364"/>
        <v>2.8571428571428572</v>
      </c>
      <c r="AT239" s="5">
        <f t="shared" si="432"/>
        <v>0.23634115777228235</v>
      </c>
      <c r="AU239" s="5">
        <f t="shared" si="440"/>
        <v>2.6208016993705749</v>
      </c>
      <c r="AV239" s="5"/>
      <c r="AW239" s="177">
        <f t="shared" si="441"/>
        <v>8.2719405220298817E-2</v>
      </c>
      <c r="AX239" s="177"/>
      <c r="BA239" s="469">
        <f t="shared" si="433"/>
        <v>5.4827721650935404</v>
      </c>
      <c r="BB239" s="469">
        <f t="shared" si="434"/>
        <v>0.18343140166666672</v>
      </c>
      <c r="BC239" s="5">
        <f t="shared" si="359"/>
        <v>2.7906684761816309E-2</v>
      </c>
      <c r="BD239" s="469">
        <f t="shared" si="435"/>
        <v>0</v>
      </c>
      <c r="BQ239" s="538">
        <f t="shared" si="436"/>
        <v>1.7572000000000001E-2</v>
      </c>
      <c r="CG239" s="571">
        <f t="shared" si="437"/>
        <v>-50</v>
      </c>
      <c r="CH239">
        <f t="shared" si="438"/>
        <v>-50</v>
      </c>
    </row>
    <row r="240" spans="5:86" x14ac:dyDescent="0.25">
      <c r="E240" s="174">
        <v>24</v>
      </c>
      <c r="F240" s="221">
        <f t="shared" si="439"/>
        <v>4.8000000000000001E-2</v>
      </c>
      <c r="G240" s="221"/>
      <c r="H240" s="221">
        <f t="shared" si="404"/>
        <v>0.76800000000000002</v>
      </c>
      <c r="I240" s="551">
        <f t="shared" si="405"/>
        <v>48</v>
      </c>
      <c r="J240" s="451">
        <f t="shared" si="406"/>
        <v>19.584</v>
      </c>
      <c r="K240" s="451">
        <f t="shared" si="407"/>
        <v>67.584000000000003</v>
      </c>
      <c r="L240" s="451"/>
      <c r="M240" s="221">
        <f t="shared" si="408"/>
        <v>0.28977272727272724</v>
      </c>
      <c r="N240" s="176">
        <f t="shared" si="409"/>
        <v>9.6890727272727268</v>
      </c>
      <c r="O240" s="176">
        <f t="shared" si="363"/>
        <v>0.76800000000000002</v>
      </c>
      <c r="P240" s="221">
        <f t="shared" si="410"/>
        <v>0.60556704545454543</v>
      </c>
      <c r="Q240" s="221">
        <f t="shared" si="411"/>
        <v>16</v>
      </c>
      <c r="R240" s="221"/>
      <c r="S240" s="176">
        <f t="shared" si="412"/>
        <v>635.02014668845777</v>
      </c>
      <c r="T240" s="176">
        <f t="shared" si="413"/>
        <v>16</v>
      </c>
      <c r="U240" s="221">
        <f t="shared" si="414"/>
        <v>0.12270152505446624</v>
      </c>
      <c r="V240" s="221">
        <f t="shared" si="415"/>
        <v>7.6688453159041395E-2</v>
      </c>
      <c r="W240" s="221">
        <f t="shared" si="416"/>
        <v>0.18796189499765051</v>
      </c>
      <c r="X240" s="201">
        <f t="shared" si="417"/>
        <v>350</v>
      </c>
      <c r="Y240" s="451">
        <f t="shared" si="418"/>
        <v>350</v>
      </c>
      <c r="AA240" s="221">
        <f t="shared" si="419"/>
        <v>1.3246753246753247</v>
      </c>
      <c r="AB240" s="177">
        <f t="shared" si="420"/>
        <v>2.029220779220779</v>
      </c>
      <c r="AC240" s="177">
        <f t="shared" si="421"/>
        <v>0.5644923258559621</v>
      </c>
      <c r="AD240" s="177"/>
      <c r="AE240" s="177">
        <f t="shared" si="422"/>
        <v>0.4595588235294118</v>
      </c>
      <c r="AF240" s="555">
        <f t="shared" si="423"/>
        <v>580.26666666666677</v>
      </c>
      <c r="AG240" s="538">
        <f t="shared" si="424"/>
        <v>2.8952205882352939E-2</v>
      </c>
      <c r="AI240" s="177">
        <f t="shared" si="425"/>
        <v>0.38627895175821908</v>
      </c>
      <c r="AJ240" s="177">
        <f t="shared" si="426"/>
        <v>0.38627895175821908</v>
      </c>
      <c r="AK240" s="177">
        <f t="shared" si="427"/>
        <v>1.2575193011721459</v>
      </c>
      <c r="AM240" s="555">
        <f t="shared" si="428"/>
        <v>48</v>
      </c>
      <c r="AN240" s="469">
        <f t="shared" si="429"/>
        <v>350</v>
      </c>
      <c r="AP240">
        <f t="shared" si="430"/>
        <v>48</v>
      </c>
      <c r="AQ240">
        <f t="shared" si="431"/>
        <v>350</v>
      </c>
      <c r="AS240" s="5">
        <f t="shared" si="364"/>
        <v>2.8571428571428572</v>
      </c>
      <c r="AT240" s="5">
        <f t="shared" si="432"/>
        <v>0.24142434484888692</v>
      </c>
      <c r="AU240" s="5">
        <f t="shared" si="440"/>
        <v>2.6157185122939701</v>
      </c>
      <c r="AV240" s="5"/>
      <c r="AW240" s="177">
        <f t="shared" si="441"/>
        <v>8.4498520697110419E-2</v>
      </c>
      <c r="AX240" s="177"/>
      <c r="BA240" s="469">
        <f t="shared" si="433"/>
        <v>5.4827721650935404</v>
      </c>
      <c r="BB240" s="469">
        <f t="shared" si="434"/>
        <v>0.19346784000000003</v>
      </c>
      <c r="BC240" s="5">
        <f t="shared" si="359"/>
        <v>2.9063539025488555E-2</v>
      </c>
      <c r="BD240" s="469">
        <f t="shared" si="435"/>
        <v>0</v>
      </c>
      <c r="BQ240" s="538">
        <f t="shared" si="436"/>
        <v>1.8336000000000002E-2</v>
      </c>
      <c r="CG240" s="571">
        <f t="shared" si="437"/>
        <v>-50</v>
      </c>
      <c r="CH240">
        <f t="shared" si="438"/>
        <v>-50</v>
      </c>
    </row>
    <row r="241" spans="5:86" x14ac:dyDescent="0.25">
      <c r="E241" s="174">
        <v>25</v>
      </c>
      <c r="F241" s="221">
        <f t="shared" si="439"/>
        <v>0.05</v>
      </c>
      <c r="G241" s="221"/>
      <c r="H241" s="221">
        <f t="shared" si="404"/>
        <v>0.8</v>
      </c>
      <c r="I241" s="551">
        <f t="shared" si="405"/>
        <v>48</v>
      </c>
      <c r="J241" s="451">
        <f t="shared" si="406"/>
        <v>19.584</v>
      </c>
      <c r="K241" s="451">
        <f t="shared" si="407"/>
        <v>67.584000000000003</v>
      </c>
      <c r="L241" s="451"/>
      <c r="M241" s="221">
        <f t="shared" si="408"/>
        <v>0.28977272727272724</v>
      </c>
      <c r="N241" s="176">
        <f t="shared" si="409"/>
        <v>9.6890727272727268</v>
      </c>
      <c r="O241" s="176">
        <f t="shared" si="363"/>
        <v>0.8</v>
      </c>
      <c r="P241" s="221">
        <f t="shared" si="410"/>
        <v>0.60556704545454543</v>
      </c>
      <c r="Q241" s="221">
        <f t="shared" si="411"/>
        <v>16</v>
      </c>
      <c r="R241" s="221"/>
      <c r="S241" s="176">
        <f t="shared" si="412"/>
        <v>608.021040829306</v>
      </c>
      <c r="T241" s="176">
        <f t="shared" si="413"/>
        <v>16</v>
      </c>
      <c r="U241" s="221">
        <f t="shared" si="414"/>
        <v>0.12781408859840235</v>
      </c>
      <c r="V241" s="221">
        <f t="shared" si="415"/>
        <v>7.9883805374001471E-2</v>
      </c>
      <c r="W241" s="221">
        <f t="shared" si="416"/>
        <v>0.19579364062255261</v>
      </c>
      <c r="X241" s="201">
        <f t="shared" si="417"/>
        <v>350</v>
      </c>
      <c r="Y241" s="451">
        <f t="shared" si="418"/>
        <v>350</v>
      </c>
      <c r="AA241" s="221">
        <f t="shared" si="419"/>
        <v>1.3246753246753247</v>
      </c>
      <c r="AB241" s="177">
        <f t="shared" si="420"/>
        <v>2.029220779220779</v>
      </c>
      <c r="AC241" s="177">
        <f t="shared" si="421"/>
        <v>0.5644923258559621</v>
      </c>
      <c r="AD241" s="177"/>
      <c r="AE241" s="177">
        <f t="shared" si="422"/>
        <v>0.4595588235294118</v>
      </c>
      <c r="AF241" s="555">
        <f t="shared" si="423"/>
        <v>604.44444444444446</v>
      </c>
      <c r="AG241" s="538">
        <f t="shared" si="424"/>
        <v>2.8952205882352939E-2</v>
      </c>
      <c r="AI241" s="177">
        <f t="shared" si="425"/>
        <v>0.39424430424366491</v>
      </c>
      <c r="AJ241" s="177">
        <f t="shared" si="426"/>
        <v>0.39424430424366491</v>
      </c>
      <c r="AK241" s="177">
        <f t="shared" si="427"/>
        <v>1.2628295361624433</v>
      </c>
      <c r="AM241" s="555">
        <f t="shared" si="428"/>
        <v>50</v>
      </c>
      <c r="AN241" s="469">
        <f t="shared" si="429"/>
        <v>350</v>
      </c>
      <c r="AP241">
        <f t="shared" si="430"/>
        <v>50</v>
      </c>
      <c r="AQ241">
        <f t="shared" si="431"/>
        <v>350</v>
      </c>
      <c r="AS241" s="5">
        <f t="shared" si="364"/>
        <v>2.8571428571428572</v>
      </c>
      <c r="AT241" s="5">
        <f t="shared" si="432"/>
        <v>0.24640269015229055</v>
      </c>
      <c r="AU241" s="5">
        <f t="shared" si="440"/>
        <v>2.6107401669905665</v>
      </c>
      <c r="AV241" s="5"/>
      <c r="AW241" s="177">
        <f t="shared" si="441"/>
        <v>8.6240941553301684E-2</v>
      </c>
      <c r="AX241" s="177"/>
      <c r="BA241" s="469">
        <f t="shared" si="433"/>
        <v>5.4827721650935404</v>
      </c>
      <c r="BB241" s="469">
        <f t="shared" si="434"/>
        <v>0.2036760416666667</v>
      </c>
      <c r="BC241" s="5">
        <f t="shared" si="359"/>
        <v>3.0216900080909336E-2</v>
      </c>
      <c r="BD241" s="469">
        <f t="shared" si="435"/>
        <v>0</v>
      </c>
      <c r="BQ241" s="538">
        <f t="shared" si="436"/>
        <v>1.9100000000000002E-2</v>
      </c>
      <c r="CG241" s="571">
        <f t="shared" si="437"/>
        <v>-50</v>
      </c>
      <c r="CH241">
        <f t="shared" si="438"/>
        <v>-50</v>
      </c>
    </row>
    <row r="242" spans="5:86" x14ac:dyDescent="0.25">
      <c r="E242" s="174">
        <v>26</v>
      </c>
      <c r="F242" s="221">
        <f t="shared" si="439"/>
        <v>5.2000000000000005E-2</v>
      </c>
      <c r="G242" s="221"/>
      <c r="H242" s="221">
        <f t="shared" si="404"/>
        <v>0.83200000000000007</v>
      </c>
      <c r="I242" s="551">
        <f t="shared" si="405"/>
        <v>48</v>
      </c>
      <c r="J242" s="451">
        <f t="shared" si="406"/>
        <v>19.584</v>
      </c>
      <c r="K242" s="451">
        <f t="shared" si="407"/>
        <v>67.584000000000003</v>
      </c>
      <c r="L242" s="451"/>
      <c r="M242" s="221">
        <f t="shared" si="408"/>
        <v>0.28977272727272724</v>
      </c>
      <c r="N242" s="176">
        <f t="shared" si="409"/>
        <v>9.6890727272727268</v>
      </c>
      <c r="O242" s="176">
        <f t="shared" si="363"/>
        <v>0.83200000000000007</v>
      </c>
      <c r="P242" s="221">
        <f t="shared" si="410"/>
        <v>0.60556704545454543</v>
      </c>
      <c r="Q242" s="221">
        <f t="shared" si="411"/>
        <v>16</v>
      </c>
      <c r="R242" s="221"/>
      <c r="S242" s="176">
        <f t="shared" si="412"/>
        <v>583.09886271723633</v>
      </c>
      <c r="T242" s="176">
        <f t="shared" si="413"/>
        <v>16</v>
      </c>
      <c r="U242" s="221">
        <f t="shared" si="414"/>
        <v>0.13292665214233843</v>
      </c>
      <c r="V242" s="221">
        <f t="shared" si="415"/>
        <v>8.3079157588961519E-2</v>
      </c>
      <c r="W242" s="221">
        <f t="shared" si="416"/>
        <v>0.20362538624745469</v>
      </c>
      <c r="X242" s="201">
        <f t="shared" si="417"/>
        <v>350</v>
      </c>
      <c r="Y242" s="451">
        <f t="shared" si="418"/>
        <v>350</v>
      </c>
      <c r="AA242" s="221">
        <f t="shared" si="419"/>
        <v>1.3246753246753247</v>
      </c>
      <c r="AB242" s="177">
        <f t="shared" si="420"/>
        <v>2.029220779220779</v>
      </c>
      <c r="AC242" s="177">
        <f t="shared" si="421"/>
        <v>0.5644923258559621</v>
      </c>
      <c r="AD242" s="177"/>
      <c r="AE242" s="177">
        <f t="shared" si="422"/>
        <v>0.4595588235294118</v>
      </c>
      <c r="AF242" s="555">
        <f t="shared" si="423"/>
        <v>628.62222222222238</v>
      </c>
      <c r="AG242" s="538">
        <f t="shared" si="424"/>
        <v>2.8952205882352939E-2</v>
      </c>
      <c r="AI242" s="177">
        <f t="shared" si="425"/>
        <v>0.40205188009225162</v>
      </c>
      <c r="AJ242" s="177">
        <f t="shared" si="426"/>
        <v>0.40205188009225162</v>
      </c>
      <c r="AK242" s="177">
        <f t="shared" si="427"/>
        <v>1.2680345867281677</v>
      </c>
      <c r="AM242" s="555">
        <f t="shared" si="428"/>
        <v>52.000000000000007</v>
      </c>
      <c r="AN242" s="469">
        <f t="shared" si="429"/>
        <v>350</v>
      </c>
      <c r="AP242">
        <f t="shared" si="430"/>
        <v>52.000000000000007</v>
      </c>
      <c r="AQ242">
        <f t="shared" si="431"/>
        <v>350</v>
      </c>
      <c r="AS242" s="5">
        <f t="shared" si="364"/>
        <v>2.8571428571428572</v>
      </c>
      <c r="AT242" s="5">
        <f t="shared" si="432"/>
        <v>0.2512824250576573</v>
      </c>
      <c r="AU242" s="5">
        <f t="shared" si="440"/>
        <v>2.6058604320851999</v>
      </c>
      <c r="AV242" s="5"/>
      <c r="AW242" s="177">
        <f t="shared" si="441"/>
        <v>8.7948848770180055E-2</v>
      </c>
      <c r="AX242" s="177"/>
      <c r="BA242" s="469">
        <f t="shared" si="433"/>
        <v>5.4827721650935404</v>
      </c>
      <c r="BB242" s="469">
        <f t="shared" si="434"/>
        <v>0.21405600666666671</v>
      </c>
      <c r="BC242" s="5">
        <f t="shared" si="359"/>
        <v>3.1366838534358892E-2</v>
      </c>
      <c r="BD242" s="469">
        <f t="shared" si="435"/>
        <v>0</v>
      </c>
      <c r="BQ242" s="538">
        <f t="shared" si="436"/>
        <v>1.9864000000000003E-2</v>
      </c>
      <c r="CG242" s="571">
        <f t="shared" si="437"/>
        <v>-50</v>
      </c>
      <c r="CH242">
        <f t="shared" si="438"/>
        <v>-50</v>
      </c>
    </row>
    <row r="243" spans="5:86" x14ac:dyDescent="0.25">
      <c r="E243" s="174">
        <v>27</v>
      </c>
      <c r="F243" s="221">
        <f t="shared" si="439"/>
        <v>5.4000000000000006E-2</v>
      </c>
      <c r="G243" s="221"/>
      <c r="H243" s="221">
        <f t="shared" si="404"/>
        <v>0.8640000000000001</v>
      </c>
      <c r="I243" s="551">
        <f t="shared" si="405"/>
        <v>48</v>
      </c>
      <c r="J243" s="451">
        <f t="shared" si="406"/>
        <v>19.584</v>
      </c>
      <c r="K243" s="451">
        <f t="shared" si="407"/>
        <v>67.584000000000003</v>
      </c>
      <c r="L243" s="451"/>
      <c r="M243" s="221">
        <f t="shared" si="408"/>
        <v>0.28977272727272724</v>
      </c>
      <c r="N243" s="176">
        <f t="shared" si="409"/>
        <v>9.6890727272727268</v>
      </c>
      <c r="O243" s="176">
        <f t="shared" si="363"/>
        <v>0.8640000000000001</v>
      </c>
      <c r="P243" s="221">
        <f t="shared" si="410"/>
        <v>0.60556704545454543</v>
      </c>
      <c r="Q243" s="221">
        <f t="shared" si="411"/>
        <v>16</v>
      </c>
      <c r="R243" s="221"/>
      <c r="S243" s="176">
        <f t="shared" si="412"/>
        <v>560.0228431578206</v>
      </c>
      <c r="T243" s="176">
        <f t="shared" si="413"/>
        <v>16</v>
      </c>
      <c r="U243" s="221">
        <f t="shared" si="414"/>
        <v>0.13803921568627453</v>
      </c>
      <c r="V243" s="221">
        <f t="shared" si="415"/>
        <v>8.6274509803921595E-2</v>
      </c>
      <c r="W243" s="221">
        <f t="shared" si="416"/>
        <v>0.21145713187235685</v>
      </c>
      <c r="X243" s="201">
        <f t="shared" si="417"/>
        <v>350</v>
      </c>
      <c r="Y243" s="451">
        <f t="shared" si="418"/>
        <v>350</v>
      </c>
      <c r="AA243" s="221">
        <f t="shared" si="419"/>
        <v>1.3246753246753247</v>
      </c>
      <c r="AB243" s="177">
        <f t="shared" si="420"/>
        <v>2.029220779220779</v>
      </c>
      <c r="AC243" s="177">
        <f t="shared" si="421"/>
        <v>0.5644923258559621</v>
      </c>
      <c r="AD243" s="177"/>
      <c r="AE243" s="177">
        <f t="shared" si="422"/>
        <v>0.4595588235294118</v>
      </c>
      <c r="AF243" s="555">
        <f t="shared" si="423"/>
        <v>652.80000000000007</v>
      </c>
      <c r="AG243" s="538">
        <f t="shared" si="424"/>
        <v>2.8952205882352939E-2</v>
      </c>
      <c r="AI243" s="177">
        <f t="shared" si="425"/>
        <v>0.40971069932680199</v>
      </c>
      <c r="AJ243" s="177">
        <f t="shared" si="426"/>
        <v>0.40971069932680199</v>
      </c>
      <c r="AK243" s="177">
        <f t="shared" si="427"/>
        <v>1.273140466217868</v>
      </c>
      <c r="AM243" s="555">
        <f t="shared" si="428"/>
        <v>54.000000000000007</v>
      </c>
      <c r="AN243" s="469">
        <f t="shared" si="429"/>
        <v>350</v>
      </c>
      <c r="AP243">
        <f t="shared" si="430"/>
        <v>54.000000000000007</v>
      </c>
      <c r="AQ243">
        <f t="shared" si="431"/>
        <v>350</v>
      </c>
      <c r="AS243" s="5">
        <f t="shared" si="364"/>
        <v>2.8571428571428572</v>
      </c>
      <c r="AT243" s="5">
        <f t="shared" si="432"/>
        <v>0.25606918707925119</v>
      </c>
      <c r="AU243" s="5">
        <f t="shared" si="440"/>
        <v>2.6010736700636059</v>
      </c>
      <c r="AV243" s="5"/>
      <c r="AW243" s="177">
        <f t="shared" si="441"/>
        <v>8.9624215477737912E-2</v>
      </c>
      <c r="AX243" s="177"/>
      <c r="BA243" s="469">
        <f t="shared" si="433"/>
        <v>5.4827721650935404</v>
      </c>
      <c r="BB243" s="469">
        <f t="shared" si="434"/>
        <v>0.22460773500000009</v>
      </c>
      <c r="BC243" s="5">
        <f t="shared" si="359"/>
        <v>3.251342087579507E-2</v>
      </c>
      <c r="BD243" s="469">
        <f t="shared" si="435"/>
        <v>0</v>
      </c>
      <c r="BQ243" s="538">
        <f t="shared" si="436"/>
        <v>2.0628000000000004E-2</v>
      </c>
      <c r="CG243" s="571">
        <f t="shared" si="437"/>
        <v>-50</v>
      </c>
      <c r="CH243">
        <f t="shared" si="438"/>
        <v>-50</v>
      </c>
    </row>
    <row r="244" spans="5:86" x14ac:dyDescent="0.25">
      <c r="E244" s="174">
        <v>28</v>
      </c>
      <c r="F244" s="221">
        <f t="shared" si="439"/>
        <v>5.6000000000000008E-2</v>
      </c>
      <c r="G244" s="221"/>
      <c r="H244" s="221">
        <f t="shared" si="404"/>
        <v>0.89600000000000013</v>
      </c>
      <c r="I244" s="551">
        <f t="shared" si="405"/>
        <v>48</v>
      </c>
      <c r="J244" s="451">
        <f t="shared" si="406"/>
        <v>19.584</v>
      </c>
      <c r="K244" s="451">
        <f t="shared" si="407"/>
        <v>67.584000000000003</v>
      </c>
      <c r="L244" s="451"/>
      <c r="M244" s="221">
        <f t="shared" si="408"/>
        <v>0.28977272727272724</v>
      </c>
      <c r="N244" s="176">
        <f t="shared" si="409"/>
        <v>9.6890727272727268</v>
      </c>
      <c r="O244" s="176">
        <f t="shared" si="363"/>
        <v>0.89600000000000013</v>
      </c>
      <c r="P244" s="221">
        <f t="shared" si="410"/>
        <v>0.60556704545454543</v>
      </c>
      <c r="Q244" s="221">
        <f t="shared" si="411"/>
        <v>16</v>
      </c>
      <c r="R244" s="221"/>
      <c r="S244" s="176">
        <f t="shared" si="412"/>
        <v>538.59517998997308</v>
      </c>
      <c r="T244" s="176">
        <f t="shared" si="413"/>
        <v>16</v>
      </c>
      <c r="U244" s="221">
        <f t="shared" si="414"/>
        <v>0.14315177923021064</v>
      </c>
      <c r="V244" s="221">
        <f t="shared" si="415"/>
        <v>8.9469862018881643E-2</v>
      </c>
      <c r="W244" s="221">
        <f t="shared" si="416"/>
        <v>0.21928887749725895</v>
      </c>
      <c r="X244" s="201">
        <f t="shared" si="417"/>
        <v>350</v>
      </c>
      <c r="Y244" s="451">
        <f t="shared" si="418"/>
        <v>350</v>
      </c>
      <c r="AA244" s="221">
        <f t="shared" si="419"/>
        <v>1.3246753246753247</v>
      </c>
      <c r="AB244" s="177">
        <f t="shared" si="420"/>
        <v>2.029220779220779</v>
      </c>
      <c r="AC244" s="177">
        <f t="shared" si="421"/>
        <v>0.5644923258559621</v>
      </c>
      <c r="AD244" s="177"/>
      <c r="AE244" s="177">
        <f t="shared" si="422"/>
        <v>0.4595588235294118</v>
      </c>
      <c r="AF244" s="555">
        <f t="shared" si="423"/>
        <v>676.97777777777799</v>
      </c>
      <c r="AG244" s="538">
        <f t="shared" si="424"/>
        <v>2.8952205882352939E-2</v>
      </c>
      <c r="AI244" s="177">
        <f t="shared" si="425"/>
        <v>0.41722895393296955</v>
      </c>
      <c r="AJ244" s="177">
        <f t="shared" si="426"/>
        <v>0.41722895393296955</v>
      </c>
      <c r="AK244" s="177">
        <f t="shared" si="427"/>
        <v>1.278152635955313</v>
      </c>
      <c r="AM244" s="555">
        <f t="shared" si="428"/>
        <v>56.000000000000007</v>
      </c>
      <c r="AN244" s="469">
        <f t="shared" si="429"/>
        <v>350</v>
      </c>
      <c r="AP244">
        <f t="shared" si="430"/>
        <v>56.000000000000007</v>
      </c>
      <c r="AQ244">
        <f t="shared" si="431"/>
        <v>350</v>
      </c>
      <c r="AS244" s="5">
        <f t="shared" si="364"/>
        <v>2.8571428571428572</v>
      </c>
      <c r="AT244" s="5">
        <f t="shared" si="432"/>
        <v>0.26076809620810598</v>
      </c>
      <c r="AU244" s="5">
        <f t="shared" si="440"/>
        <v>2.5963747609347512</v>
      </c>
      <c r="AV244" s="5"/>
      <c r="AW244" s="177">
        <f t="shared" si="441"/>
        <v>9.1268833672837085E-2</v>
      </c>
      <c r="AX244" s="177"/>
      <c r="BA244" s="469">
        <f t="shared" si="433"/>
        <v>5.4827721650935404</v>
      </c>
      <c r="BB244" s="469">
        <f t="shared" si="434"/>
        <v>0.23533122666666673</v>
      </c>
      <c r="BC244" s="5">
        <f t="shared" si="359"/>
        <v>3.3656709863969E-2</v>
      </c>
      <c r="BD244" s="469">
        <f t="shared" si="435"/>
        <v>0</v>
      </c>
      <c r="BQ244" s="538">
        <f t="shared" si="436"/>
        <v>2.1392000000000001E-2</v>
      </c>
      <c r="CG244" s="571">
        <f t="shared" si="437"/>
        <v>-50</v>
      </c>
      <c r="CH244">
        <f t="shared" si="438"/>
        <v>-50</v>
      </c>
    </row>
    <row r="245" spans="5:86" x14ac:dyDescent="0.25">
      <c r="E245" s="174">
        <v>29</v>
      </c>
      <c r="F245" s="221">
        <f t="shared" si="439"/>
        <v>5.7999999999999996E-2</v>
      </c>
      <c r="G245" s="221"/>
      <c r="H245" s="221">
        <f t="shared" si="404"/>
        <v>0.92799999999999994</v>
      </c>
      <c r="I245" s="551">
        <f t="shared" si="405"/>
        <v>48</v>
      </c>
      <c r="J245" s="451">
        <f t="shared" si="406"/>
        <v>19.584</v>
      </c>
      <c r="K245" s="451">
        <f t="shared" si="407"/>
        <v>67.584000000000003</v>
      </c>
      <c r="L245" s="451"/>
      <c r="M245" s="221">
        <f t="shared" si="408"/>
        <v>0.28977272727272724</v>
      </c>
      <c r="N245" s="176">
        <f t="shared" si="409"/>
        <v>9.6890727272727268</v>
      </c>
      <c r="O245" s="176">
        <f t="shared" si="363"/>
        <v>0.92799999999999994</v>
      </c>
      <c r="P245" s="221">
        <f t="shared" si="410"/>
        <v>0.60556704545454543</v>
      </c>
      <c r="Q245" s="221">
        <f t="shared" si="411"/>
        <v>16</v>
      </c>
      <c r="R245" s="221"/>
      <c r="S245" s="176">
        <f t="shared" si="412"/>
        <v>518.64535411475254</v>
      </c>
      <c r="T245" s="176">
        <f t="shared" si="413"/>
        <v>16</v>
      </c>
      <c r="U245" s="221">
        <f t="shared" si="414"/>
        <v>0.14826434277414668</v>
      </c>
      <c r="V245" s="221">
        <f t="shared" si="415"/>
        <v>9.2665214233841664E-2</v>
      </c>
      <c r="W245" s="221">
        <f t="shared" si="416"/>
        <v>0.22712062312216097</v>
      </c>
      <c r="X245" s="201">
        <f t="shared" si="417"/>
        <v>350</v>
      </c>
      <c r="Y245" s="451">
        <f t="shared" si="418"/>
        <v>350</v>
      </c>
      <c r="AA245" s="221">
        <f t="shared" si="419"/>
        <v>1.3246753246753247</v>
      </c>
      <c r="AB245" s="177">
        <f t="shared" si="420"/>
        <v>2.029220779220779</v>
      </c>
      <c r="AC245" s="177">
        <f t="shared" si="421"/>
        <v>0.5644923258559621</v>
      </c>
      <c r="AD245" s="177"/>
      <c r="AE245" s="177">
        <f t="shared" si="422"/>
        <v>0.4595588235294118</v>
      </c>
      <c r="AF245" s="555">
        <f t="shared" si="423"/>
        <v>701.15555555555557</v>
      </c>
      <c r="AG245" s="538">
        <f t="shared" si="424"/>
        <v>2.8952205882352939E-2</v>
      </c>
      <c r="AI245" s="177">
        <f t="shared" si="425"/>
        <v>0.42461411052524245</v>
      </c>
      <c r="AJ245" s="177">
        <f t="shared" si="426"/>
        <v>0.42461411052524245</v>
      </c>
      <c r="AK245" s="177">
        <f t="shared" si="427"/>
        <v>1.283076073683495</v>
      </c>
      <c r="AM245" s="555">
        <f t="shared" si="428"/>
        <v>57.999999999999993</v>
      </c>
      <c r="AN245" s="469">
        <f t="shared" si="429"/>
        <v>350</v>
      </c>
      <c r="AP245">
        <f t="shared" si="430"/>
        <v>57.999999999999993</v>
      </c>
      <c r="AQ245">
        <f t="shared" si="431"/>
        <v>350</v>
      </c>
      <c r="AS245" s="5">
        <f t="shared" si="364"/>
        <v>2.8571428571428572</v>
      </c>
      <c r="AT245" s="5">
        <f t="shared" si="432"/>
        <v>0.26538381907827652</v>
      </c>
      <c r="AU245" s="5">
        <f t="shared" si="440"/>
        <v>2.5917590380645805</v>
      </c>
      <c r="AV245" s="5"/>
      <c r="AW245" s="177">
        <f t="shared" si="441"/>
        <v>9.2884336677396775E-2</v>
      </c>
      <c r="AX245" s="177"/>
      <c r="BA245" s="469">
        <f t="shared" si="433"/>
        <v>5.4827721650935404</v>
      </c>
      <c r="BB245" s="469">
        <f t="shared" si="434"/>
        <v>0.24622648166666666</v>
      </c>
      <c r="BC245" s="5">
        <f t="shared" ref="BC245:BC308" si="442">H245/Efficiency/I245*AU245/Vinripple1</f>
        <v>3.4796764862904082E-2</v>
      </c>
      <c r="BD245" s="469">
        <f t="shared" si="435"/>
        <v>0</v>
      </c>
      <c r="BQ245" s="538">
        <f t="shared" si="436"/>
        <v>2.2155999999999999E-2</v>
      </c>
      <c r="CG245" s="571">
        <f t="shared" si="437"/>
        <v>-50</v>
      </c>
      <c r="CH245">
        <f t="shared" si="438"/>
        <v>-50</v>
      </c>
    </row>
    <row r="246" spans="5:86" x14ac:dyDescent="0.25">
      <c r="E246" s="174">
        <v>30</v>
      </c>
      <c r="F246" s="221">
        <f t="shared" si="439"/>
        <v>0.06</v>
      </c>
      <c r="G246" s="221"/>
      <c r="H246" s="221">
        <f t="shared" si="404"/>
        <v>0.96</v>
      </c>
      <c r="I246" s="551">
        <f t="shared" si="405"/>
        <v>48</v>
      </c>
      <c r="J246" s="451">
        <f t="shared" si="406"/>
        <v>19.584</v>
      </c>
      <c r="K246" s="451">
        <f t="shared" si="407"/>
        <v>67.584000000000003</v>
      </c>
      <c r="L246" s="451"/>
      <c r="M246" s="221">
        <f t="shared" si="408"/>
        <v>0.28977272727272724</v>
      </c>
      <c r="N246" s="176">
        <f t="shared" si="409"/>
        <v>9.6890727272727268</v>
      </c>
      <c r="O246" s="176">
        <f t="shared" si="363"/>
        <v>0.96</v>
      </c>
      <c r="P246" s="221">
        <f t="shared" si="410"/>
        <v>0.60556704545454543</v>
      </c>
      <c r="Q246" s="221">
        <f t="shared" si="411"/>
        <v>16</v>
      </c>
      <c r="R246" s="221"/>
      <c r="S246" s="176">
        <f t="shared" si="412"/>
        <v>500.02558231840612</v>
      </c>
      <c r="T246" s="176">
        <f t="shared" si="413"/>
        <v>16</v>
      </c>
      <c r="U246" s="221">
        <f t="shared" si="414"/>
        <v>0.15337690631808279</v>
      </c>
      <c r="V246" s="221">
        <f t="shared" si="415"/>
        <v>9.586056644880174E-2</v>
      </c>
      <c r="W246" s="221">
        <f t="shared" si="416"/>
        <v>0.2349523687470631</v>
      </c>
      <c r="X246" s="201">
        <f t="shared" si="417"/>
        <v>350</v>
      </c>
      <c r="Y246" s="451">
        <f t="shared" si="418"/>
        <v>350</v>
      </c>
      <c r="AA246" s="221">
        <f t="shared" si="419"/>
        <v>1.3246753246753247</v>
      </c>
      <c r="AB246" s="177">
        <f t="shared" si="420"/>
        <v>2.029220779220779</v>
      </c>
      <c r="AC246" s="177">
        <f t="shared" si="421"/>
        <v>0.5644923258559621</v>
      </c>
      <c r="AD246" s="177"/>
      <c r="AE246" s="177">
        <f t="shared" si="422"/>
        <v>0.4595588235294118</v>
      </c>
      <c r="AF246" s="555">
        <f t="shared" si="423"/>
        <v>725.33333333333337</v>
      </c>
      <c r="AG246" s="538">
        <f t="shared" si="424"/>
        <v>2.8952205882352939E-2</v>
      </c>
      <c r="AI246" s="177">
        <f t="shared" si="425"/>
        <v>0.43187299720436989</v>
      </c>
      <c r="AJ246" s="177">
        <f t="shared" si="426"/>
        <v>0.43187299720436989</v>
      </c>
      <c r="AK246" s="177">
        <f t="shared" si="427"/>
        <v>1.2879153314695799</v>
      </c>
      <c r="AM246" s="555">
        <f t="shared" si="428"/>
        <v>60</v>
      </c>
      <c r="AN246" s="469">
        <f t="shared" si="429"/>
        <v>350</v>
      </c>
      <c r="AP246">
        <f t="shared" si="430"/>
        <v>60</v>
      </c>
      <c r="AQ246">
        <f t="shared" si="431"/>
        <v>350</v>
      </c>
      <c r="AS246" s="5">
        <f t="shared" si="364"/>
        <v>2.8571428571428572</v>
      </c>
      <c r="AT246" s="5">
        <f t="shared" si="432"/>
        <v>0.2699206232527312</v>
      </c>
      <c r="AU246" s="5">
        <f t="shared" si="440"/>
        <v>2.5872222338901261</v>
      </c>
      <c r="AV246" s="5"/>
      <c r="AW246" s="177">
        <f t="shared" si="441"/>
        <v>9.447221813845591E-2</v>
      </c>
      <c r="AX246" s="177"/>
      <c r="BA246" s="469">
        <f t="shared" si="433"/>
        <v>5.4827721650935404</v>
      </c>
      <c r="BB246" s="469">
        <f t="shared" si="434"/>
        <v>0.25729350000000001</v>
      </c>
      <c r="BC246" s="5">
        <f t="shared" si="442"/>
        <v>3.5933642137362859E-2</v>
      </c>
      <c r="BD246" s="469">
        <f t="shared" si="435"/>
        <v>0</v>
      </c>
      <c r="BQ246" s="538">
        <f t="shared" si="436"/>
        <v>2.2919999999999999E-2</v>
      </c>
      <c r="CG246" s="571">
        <f t="shared" si="437"/>
        <v>-50</v>
      </c>
      <c r="CH246">
        <f t="shared" si="438"/>
        <v>-50</v>
      </c>
    </row>
    <row r="247" spans="5:86" x14ac:dyDescent="0.25">
      <c r="E247" s="174">
        <v>31</v>
      </c>
      <c r="F247" s="221">
        <f t="shared" si="439"/>
        <v>6.2E-2</v>
      </c>
      <c r="G247" s="221"/>
      <c r="H247" s="221">
        <f t="shared" si="404"/>
        <v>0.99199999999999999</v>
      </c>
      <c r="I247" s="551">
        <f t="shared" si="405"/>
        <v>48</v>
      </c>
      <c r="J247" s="451">
        <f t="shared" si="406"/>
        <v>19.584</v>
      </c>
      <c r="K247" s="451">
        <f t="shared" si="407"/>
        <v>67.584000000000003</v>
      </c>
      <c r="L247" s="451"/>
      <c r="M247" s="221">
        <f t="shared" si="408"/>
        <v>0.28977272727272724</v>
      </c>
      <c r="N247" s="176">
        <f t="shared" si="409"/>
        <v>9.6890727272727268</v>
      </c>
      <c r="O247" s="176">
        <f t="shared" si="363"/>
        <v>0.99199999999999999</v>
      </c>
      <c r="P247" s="221">
        <f t="shared" si="410"/>
        <v>0.60556704545454543</v>
      </c>
      <c r="Q247" s="221">
        <f t="shared" si="411"/>
        <v>16</v>
      </c>
      <c r="R247" s="221"/>
      <c r="S247" s="176">
        <f t="shared" si="412"/>
        <v>482.60715019418154</v>
      </c>
      <c r="T247" s="176">
        <f t="shared" si="413"/>
        <v>16</v>
      </c>
      <c r="U247" s="221">
        <f t="shared" si="414"/>
        <v>0.15848946986201889</v>
      </c>
      <c r="V247" s="221">
        <f t="shared" si="415"/>
        <v>9.9055918663761802E-2</v>
      </c>
      <c r="W247" s="221">
        <f t="shared" si="416"/>
        <v>0.2427841143719652</v>
      </c>
      <c r="X247" s="201">
        <f t="shared" si="417"/>
        <v>350</v>
      </c>
      <c r="Y247" s="451">
        <f t="shared" si="418"/>
        <v>350</v>
      </c>
      <c r="AA247" s="221">
        <f t="shared" si="419"/>
        <v>1.3246753246753247</v>
      </c>
      <c r="AB247" s="177">
        <f t="shared" si="420"/>
        <v>2.029220779220779</v>
      </c>
      <c r="AC247" s="177">
        <f t="shared" si="421"/>
        <v>0.5644923258559621</v>
      </c>
      <c r="AD247" s="177"/>
      <c r="AE247" s="177">
        <f t="shared" si="422"/>
        <v>0.4595588235294118</v>
      </c>
      <c r="AF247" s="555">
        <f t="shared" si="423"/>
        <v>749.51111111111118</v>
      </c>
      <c r="AG247" s="538">
        <f t="shared" si="424"/>
        <v>2.8952205882352939E-2</v>
      </c>
      <c r="AI247" s="177">
        <f t="shared" si="425"/>
        <v>0.43901187748331882</v>
      </c>
      <c r="AJ247" s="177">
        <f t="shared" si="426"/>
        <v>0.43901187748331882</v>
      </c>
      <c r="AK247" s="177">
        <f t="shared" si="427"/>
        <v>1.2926745849888792</v>
      </c>
      <c r="AM247" s="555">
        <f t="shared" si="428"/>
        <v>62</v>
      </c>
      <c r="AN247" s="469">
        <f t="shared" si="429"/>
        <v>350</v>
      </c>
      <c r="AP247">
        <f t="shared" si="430"/>
        <v>62</v>
      </c>
      <c r="AQ247">
        <f t="shared" si="431"/>
        <v>350</v>
      </c>
      <c r="AS247" s="5">
        <f t="shared" si="364"/>
        <v>2.8571428571428572</v>
      </c>
      <c r="AT247" s="5">
        <f t="shared" si="432"/>
        <v>0.27438242342707425</v>
      </c>
      <c r="AU247" s="5">
        <f t="shared" si="440"/>
        <v>2.5827604337157828</v>
      </c>
      <c r="AV247" s="5"/>
      <c r="AW247" s="177">
        <f t="shared" si="441"/>
        <v>9.6033848199475982E-2</v>
      </c>
      <c r="AX247" s="177"/>
      <c r="BA247" s="469">
        <f t="shared" si="433"/>
        <v>5.4827721650935404</v>
      </c>
      <c r="BB247" s="469">
        <f t="shared" si="434"/>
        <v>0.26853228166666665</v>
      </c>
      <c r="BC247" s="5">
        <f t="shared" si="442"/>
        <v>3.7067395113513549E-2</v>
      </c>
      <c r="BD247" s="469">
        <f t="shared" si="435"/>
        <v>0</v>
      </c>
      <c r="BQ247" s="538">
        <f t="shared" si="436"/>
        <v>2.3684E-2</v>
      </c>
      <c r="CG247" s="571">
        <f t="shared" si="437"/>
        <v>-50</v>
      </c>
      <c r="CH247">
        <f t="shared" si="438"/>
        <v>-50</v>
      </c>
    </row>
    <row r="248" spans="5:86" x14ac:dyDescent="0.25">
      <c r="E248" s="174">
        <v>32</v>
      </c>
      <c r="F248" s="221">
        <f t="shared" si="439"/>
        <v>6.4000000000000001E-2</v>
      </c>
      <c r="G248" s="221"/>
      <c r="H248" s="221">
        <f t="shared" ref="H248:H279" si="443">F248*Vout</f>
        <v>1.024</v>
      </c>
      <c r="I248" s="551">
        <f t="shared" ref="I248:I279" si="444">VIN_max</f>
        <v>48</v>
      </c>
      <c r="J248" s="451">
        <f t="shared" ref="J248:J279" si="445">(T248+Vfwd1)*Nps</f>
        <v>19.584</v>
      </c>
      <c r="K248" s="451">
        <f t="shared" ref="K248:K279" si="446">(Vout+Vfwd1)*Nps+I248</f>
        <v>67.584000000000003</v>
      </c>
      <c r="L248" s="451"/>
      <c r="M248" s="221">
        <f t="shared" ref="M248:M279" si="447">(Vout+Vfwd1)*Nps/((Vout+Vfwd1)*Nps+I248)</f>
        <v>0.28977272727272724</v>
      </c>
      <c r="N248" s="176">
        <f t="shared" ref="N248:N279" si="448">M248*I248*(Isw_max+VIN_max/Lmag*ILIM_delay)*0.5*Efficiency</f>
        <v>9.6890727272727268</v>
      </c>
      <c r="O248" s="176">
        <f t="shared" si="363"/>
        <v>1.024</v>
      </c>
      <c r="P248" s="221">
        <f t="shared" ref="P248:P279" si="449">N248/Vout</f>
        <v>0.60556704545454543</v>
      </c>
      <c r="Q248" s="221">
        <f t="shared" ref="Q248:Q279" si="450">MIN(Vout,N248/F248)</f>
        <v>16</v>
      </c>
      <c r="R248" s="221"/>
      <c r="S248" s="176">
        <f t="shared" ref="S248:S279" si="451">(SQRT(Isw_max^2*Nps^2*I248^2+4*Isw_max*F248/Efficiency*(Nps^2*Vfwd1*I248-Nps*I248^2)+4*(F248/Efficiency)^2*Nps^2*Vfwd1^2+8*(F248/Efficiency)^2*Nps*Vfwd1*I248+4*(F248/Efficiency)^2*I248^2)-2*F248/Efficiency*I248-2*F248/Efficiency*Nps*Vfwd1+Isw_max*Nps*I248)/(4*F248/Efficiency*Nps)</f>
        <v>466.27743264129754</v>
      </c>
      <c r="T248" s="176">
        <f t="shared" ref="T248:T279" si="452">MIN(Vout, S248)</f>
        <v>16</v>
      </c>
      <c r="U248" s="221">
        <f t="shared" ref="U248:U279" si="453">MIN(2*Vout*F248/(Efficiency*I248*M248), Isw_max)</f>
        <v>0.16360203340595497</v>
      </c>
      <c r="V248" s="221">
        <f t="shared" ref="V248:V279" si="454">L*U248/I248*1000000</f>
        <v>0.10225127087872188</v>
      </c>
      <c r="W248" s="221">
        <f t="shared" ref="W248:W279" si="455">L*U248/J248*1000000</f>
        <v>0.25061585999686731</v>
      </c>
      <c r="X248" s="201">
        <f t="shared" ref="X248:X279" si="456">IF(1/((350000*L)*(1/I248+1/J248))&gt;Isw_min, 350, 0.001/((Isw_min*L)*(1/I248+1/J248)))</f>
        <v>350</v>
      </c>
      <c r="Y248" s="451">
        <f t="shared" si="418"/>
        <v>350</v>
      </c>
      <c r="AA248" s="221">
        <f t="shared" ref="AA248:AA279" si="457">1/((X248*1000*L)*(1/I248+1/J248))</f>
        <v>1.3246753246753247</v>
      </c>
      <c r="AB248" s="177">
        <f t="shared" ref="AB248:AB279" si="458">L*AA248/J248*1000000</f>
        <v>2.029220779220779</v>
      </c>
      <c r="AC248" s="177">
        <f t="shared" ref="AC248:AC279" si="459">0.5*AB248*AA248*Nps*X248/1000</f>
        <v>0.5644923258559621</v>
      </c>
      <c r="AD248" s="177"/>
      <c r="AE248" s="177">
        <f t="shared" ref="AE248:AE279" si="460">L*Isw_min/J248*1000000</f>
        <v>0.4595588235294118</v>
      </c>
      <c r="AF248" s="555">
        <f t="shared" ref="AF248:AF279" si="461">MAX(12000,F248/(0.5*AE248/1000000*Isw_min*Nps))/1000</f>
        <v>773.68888888888898</v>
      </c>
      <c r="AG248" s="538">
        <f t="shared" ref="AG248:AG279" si="462">0.5*AE248/1000000*Isw_min*Nps*X248*1000</f>
        <v>2.8952205882352939E-2</v>
      </c>
      <c r="AI248" s="177">
        <f t="shared" ref="AI248:AI279" si="463">SQRT(F248/(0.5*L/J248*Fsw_DCM*Nps))</f>
        <v>0.44603651355978852</v>
      </c>
      <c r="AJ248" s="177">
        <f t="shared" ref="AJ248:AJ279" si="464">MAX(IF(F248&gt;AC248,U248,AI248),Isw_min)</f>
        <v>0.44603651355978852</v>
      </c>
      <c r="AK248" s="177">
        <f t="shared" ref="AK248:AK279" si="465">IF(F248&gt;AG248, (AJ248-Isw_min)/1.2*0.8+1.2, AF248*0.2/350+1)</f>
        <v>1.2973576757065257</v>
      </c>
      <c r="AM248" s="555">
        <f t="shared" ref="AM248:AM279" si="466">F248*1000</f>
        <v>64</v>
      </c>
      <c r="AN248" s="469">
        <f t="shared" ref="AN248:AN279" si="467">IF(F248&gt;AG248, Y248, AF248)</f>
        <v>350</v>
      </c>
      <c r="AP248">
        <f t="shared" ref="AP248:AP279" si="468">IF(H248&gt;N248, "",AM248)</f>
        <v>64</v>
      </c>
      <c r="AQ248">
        <f t="shared" ref="AQ248:AQ279" si="469">IF(H248&gt;N248, "",AN248)</f>
        <v>350</v>
      </c>
      <c r="AS248" s="5">
        <f t="shared" si="364"/>
        <v>2.8571428571428572</v>
      </c>
      <c r="AT248" s="5">
        <f t="shared" ref="AT248:AT279" si="470">L*AJ248/I248*1000000</f>
        <v>0.27877282097486783</v>
      </c>
      <c r="AU248" s="5">
        <f t="shared" si="440"/>
        <v>2.5783700361679895</v>
      </c>
      <c r="AV248" s="5"/>
      <c r="AW248" s="177">
        <f t="shared" si="441"/>
        <v>9.7570487341203743E-2</v>
      </c>
      <c r="AX248" s="177"/>
      <c r="BA248" s="469">
        <f t="shared" ref="BA248:BA279" si="471">L*Isw_max^2/(2*Vout_ripple*Vout)*1000000000*((1+M248)/2)^2</f>
        <v>5.4827721650935404</v>
      </c>
      <c r="BB248" s="469">
        <f t="shared" ref="BB248:BB279" si="472">L*F248^2/(2*Cout*Vout*Nps^2)*1000000000*((1+M248)/(1-M248))^2+F248*RCoutEsr</f>
        <v>0.2799428266666667</v>
      </c>
      <c r="BC248" s="5">
        <f t="shared" si="442"/>
        <v>3.8198074609896139E-2</v>
      </c>
      <c r="BD248" s="469">
        <f t="shared" ref="BD248:BD279" si="473">((CB248/I248/Efficiency)*AU248/Cin+(CB248/I248/Efficiency)*RCinEsr)*1000</f>
        <v>0</v>
      </c>
      <c r="BQ248" s="538">
        <f t="shared" ref="BQ248:BQ279" si="474">(Vfwd2*F248+BG248^2*Rdiode)*(1+Diode_TC/1000*(Ta-25))</f>
        <v>2.4448000000000001E-2</v>
      </c>
      <c r="CG248" s="571">
        <f t="shared" ref="CG248:CG279" si="475">IF(ABS(F248-Ioutmax_Vinmax)&lt;Iout/200, AN248, -50)</f>
        <v>-50</v>
      </c>
      <c r="CH248">
        <f t="shared" ref="CH248:CH279" si="476">IF(ABS(F248-Ioutmax_Vinmin)&lt;Iout/200, N248*CC248, -50)</f>
        <v>-50</v>
      </c>
    </row>
    <row r="249" spans="5:86" x14ac:dyDescent="0.25">
      <c r="E249" s="174">
        <v>33</v>
      </c>
      <c r="F249" s="221">
        <f t="shared" ref="F249:F280" si="477">IF(PLOT_TYPE=1, E249/100*Iout_max, min_I*EXP(N249*rr/100))</f>
        <v>6.6000000000000003E-2</v>
      </c>
      <c r="G249" s="221"/>
      <c r="H249" s="221">
        <f t="shared" si="443"/>
        <v>1.056</v>
      </c>
      <c r="I249" s="551">
        <f t="shared" si="444"/>
        <v>48</v>
      </c>
      <c r="J249" s="451">
        <f t="shared" si="445"/>
        <v>19.584</v>
      </c>
      <c r="K249" s="451">
        <f t="shared" si="446"/>
        <v>67.584000000000003</v>
      </c>
      <c r="L249" s="451"/>
      <c r="M249" s="221">
        <f t="shared" si="447"/>
        <v>0.28977272727272724</v>
      </c>
      <c r="N249" s="176">
        <f t="shared" si="448"/>
        <v>9.6890727272727268</v>
      </c>
      <c r="O249" s="176">
        <f t="shared" si="363"/>
        <v>1.056</v>
      </c>
      <c r="P249" s="221">
        <f t="shared" si="449"/>
        <v>0.60556704545454543</v>
      </c>
      <c r="Q249" s="221">
        <f t="shared" si="450"/>
        <v>16</v>
      </c>
      <c r="R249" s="221"/>
      <c r="S249" s="176">
        <f t="shared" si="451"/>
        <v>450.93745609137699</v>
      </c>
      <c r="T249" s="176">
        <f t="shared" si="452"/>
        <v>16</v>
      </c>
      <c r="U249" s="221">
        <f t="shared" si="453"/>
        <v>0.16871459694989108</v>
      </c>
      <c r="V249" s="221">
        <f t="shared" si="454"/>
        <v>0.10544662309368193</v>
      </c>
      <c r="W249" s="221">
        <f t="shared" si="455"/>
        <v>0.25844760562176944</v>
      </c>
      <c r="X249" s="201">
        <f t="shared" si="456"/>
        <v>350</v>
      </c>
      <c r="Y249" s="451">
        <f t="shared" si="418"/>
        <v>350</v>
      </c>
      <c r="AA249" s="221">
        <f t="shared" si="457"/>
        <v>1.3246753246753247</v>
      </c>
      <c r="AB249" s="177">
        <f t="shared" si="458"/>
        <v>2.029220779220779</v>
      </c>
      <c r="AC249" s="177">
        <f t="shared" si="459"/>
        <v>0.5644923258559621</v>
      </c>
      <c r="AD249" s="177"/>
      <c r="AE249" s="177">
        <f t="shared" si="460"/>
        <v>0.4595588235294118</v>
      </c>
      <c r="AF249" s="555">
        <f t="shared" si="461"/>
        <v>797.86666666666679</v>
      </c>
      <c r="AG249" s="538">
        <f t="shared" si="462"/>
        <v>2.8952205882352939E-2</v>
      </c>
      <c r="AI249" s="177">
        <f t="shared" si="463"/>
        <v>0.45295222075370628</v>
      </c>
      <c r="AJ249" s="177">
        <f t="shared" si="464"/>
        <v>0.45295222075370628</v>
      </c>
      <c r="AK249" s="177">
        <f t="shared" si="465"/>
        <v>1.3019681471691376</v>
      </c>
      <c r="AM249" s="555">
        <f t="shared" si="466"/>
        <v>66</v>
      </c>
      <c r="AN249" s="469">
        <f t="shared" si="467"/>
        <v>350</v>
      </c>
      <c r="AP249">
        <f t="shared" si="468"/>
        <v>66</v>
      </c>
      <c r="AQ249">
        <f t="shared" si="469"/>
        <v>350</v>
      </c>
      <c r="AS249" s="5">
        <f t="shared" si="364"/>
        <v>2.8571428571428572</v>
      </c>
      <c r="AT249" s="5">
        <f t="shared" si="470"/>
        <v>0.28309513797106645</v>
      </c>
      <c r="AU249" s="5">
        <f t="shared" si="440"/>
        <v>2.5740477191717908</v>
      </c>
      <c r="AV249" s="5"/>
      <c r="AW249" s="177">
        <f t="shared" si="441"/>
        <v>9.9083298289873251E-2</v>
      </c>
      <c r="AX249" s="177"/>
      <c r="BA249" s="469">
        <f t="shared" si="471"/>
        <v>5.4827721650935404</v>
      </c>
      <c r="BB249" s="469">
        <f t="shared" si="472"/>
        <v>0.29152513500000005</v>
      </c>
      <c r="BC249" s="5">
        <f t="shared" si="442"/>
        <v>3.9325729042902359E-2</v>
      </c>
      <c r="BD249" s="469">
        <f t="shared" si="473"/>
        <v>0</v>
      </c>
      <c r="BQ249" s="538">
        <f t="shared" si="474"/>
        <v>2.5212000000000002E-2</v>
      </c>
      <c r="CG249" s="571">
        <f t="shared" si="475"/>
        <v>-50</v>
      </c>
      <c r="CH249">
        <f t="shared" si="476"/>
        <v>-50</v>
      </c>
    </row>
    <row r="250" spans="5:86" x14ac:dyDescent="0.25">
      <c r="E250" s="174">
        <v>34</v>
      </c>
      <c r="F250" s="221">
        <f t="shared" si="477"/>
        <v>6.8000000000000005E-2</v>
      </c>
      <c r="G250" s="221"/>
      <c r="H250" s="221">
        <f t="shared" si="443"/>
        <v>1.0880000000000001</v>
      </c>
      <c r="I250" s="551">
        <f t="shared" si="444"/>
        <v>48</v>
      </c>
      <c r="J250" s="451">
        <f t="shared" si="445"/>
        <v>19.584</v>
      </c>
      <c r="K250" s="451">
        <f t="shared" si="446"/>
        <v>67.584000000000003</v>
      </c>
      <c r="L250" s="451"/>
      <c r="M250" s="221">
        <f t="shared" si="447"/>
        <v>0.28977272727272724</v>
      </c>
      <c r="N250" s="176">
        <f t="shared" si="448"/>
        <v>9.6890727272727268</v>
      </c>
      <c r="O250" s="176">
        <f t="shared" si="363"/>
        <v>1.0880000000000001</v>
      </c>
      <c r="P250" s="221">
        <f t="shared" si="449"/>
        <v>0.60556704545454543</v>
      </c>
      <c r="Q250" s="221">
        <f t="shared" si="450"/>
        <v>16</v>
      </c>
      <c r="R250" s="221"/>
      <c r="S250" s="176">
        <f t="shared" si="451"/>
        <v>436.49989093021662</v>
      </c>
      <c r="T250" s="176">
        <f t="shared" si="452"/>
        <v>16</v>
      </c>
      <c r="U250" s="221">
        <f t="shared" si="453"/>
        <v>0.17382716049382718</v>
      </c>
      <c r="V250" s="221">
        <f t="shared" si="454"/>
        <v>0.10864197530864199</v>
      </c>
      <c r="W250" s="221">
        <f t="shared" si="455"/>
        <v>0.26627935124667157</v>
      </c>
      <c r="X250" s="201">
        <f t="shared" si="456"/>
        <v>350</v>
      </c>
      <c r="Y250" s="451">
        <f t="shared" si="418"/>
        <v>350</v>
      </c>
      <c r="AA250" s="221">
        <f t="shared" si="457"/>
        <v>1.3246753246753247</v>
      </c>
      <c r="AB250" s="177">
        <f t="shared" si="458"/>
        <v>2.029220779220779</v>
      </c>
      <c r="AC250" s="177">
        <f t="shared" si="459"/>
        <v>0.5644923258559621</v>
      </c>
      <c r="AD250" s="177"/>
      <c r="AE250" s="177">
        <f t="shared" si="460"/>
        <v>0.4595588235294118</v>
      </c>
      <c r="AF250" s="555">
        <f t="shared" si="461"/>
        <v>822.04444444444459</v>
      </c>
      <c r="AG250" s="538">
        <f t="shared" si="462"/>
        <v>2.8952205882352939E-2</v>
      </c>
      <c r="AI250" s="177">
        <f t="shared" si="463"/>
        <v>0.45976391457231303</v>
      </c>
      <c r="AJ250" s="177">
        <f t="shared" si="464"/>
        <v>0.45976391457231303</v>
      </c>
      <c r="AK250" s="177">
        <f t="shared" si="465"/>
        <v>1.306509276381542</v>
      </c>
      <c r="AM250" s="555">
        <f t="shared" si="466"/>
        <v>68</v>
      </c>
      <c r="AN250" s="469">
        <f t="shared" si="467"/>
        <v>350</v>
      </c>
      <c r="AP250">
        <f t="shared" si="468"/>
        <v>68</v>
      </c>
      <c r="AQ250">
        <f t="shared" si="469"/>
        <v>350</v>
      </c>
      <c r="AS250" s="5">
        <f t="shared" si="364"/>
        <v>2.8571428571428572</v>
      </c>
      <c r="AT250" s="5">
        <f t="shared" si="470"/>
        <v>0.28735244660769566</v>
      </c>
      <c r="AU250" s="5">
        <f t="shared" si="440"/>
        <v>2.5697904105351617</v>
      </c>
      <c r="AV250" s="5"/>
      <c r="AW250" s="177">
        <f t="shared" si="441"/>
        <v>0.10057335631269347</v>
      </c>
      <c r="AX250" s="177"/>
      <c r="BA250" s="469">
        <f t="shared" si="471"/>
        <v>5.4827721650935404</v>
      </c>
      <c r="BB250" s="469">
        <f t="shared" si="472"/>
        <v>0.30327920666666669</v>
      </c>
      <c r="BC250" s="5">
        <f t="shared" si="442"/>
        <v>4.0450404610275686E-2</v>
      </c>
      <c r="BD250" s="469">
        <f t="shared" si="473"/>
        <v>0</v>
      </c>
      <c r="BQ250" s="538">
        <f t="shared" si="474"/>
        <v>2.5975999999999999E-2</v>
      </c>
      <c r="CG250" s="571">
        <f t="shared" si="475"/>
        <v>-50</v>
      </c>
      <c r="CH250">
        <f t="shared" si="476"/>
        <v>-50</v>
      </c>
    </row>
    <row r="251" spans="5:86" x14ac:dyDescent="0.25">
      <c r="E251" s="174">
        <v>35</v>
      </c>
      <c r="F251" s="221">
        <f t="shared" si="477"/>
        <v>6.9999999999999993E-2</v>
      </c>
      <c r="G251" s="221"/>
      <c r="H251" s="221">
        <f t="shared" si="443"/>
        <v>1.1199999999999999</v>
      </c>
      <c r="I251" s="551">
        <f t="shared" si="444"/>
        <v>48</v>
      </c>
      <c r="J251" s="451">
        <f t="shared" si="445"/>
        <v>19.584</v>
      </c>
      <c r="K251" s="451">
        <f t="shared" si="446"/>
        <v>67.584000000000003</v>
      </c>
      <c r="L251" s="451"/>
      <c r="M251" s="221">
        <f t="shared" si="447"/>
        <v>0.28977272727272724</v>
      </c>
      <c r="N251" s="176">
        <f t="shared" si="448"/>
        <v>9.6890727272727268</v>
      </c>
      <c r="O251" s="176">
        <f t="shared" si="363"/>
        <v>1.1199999999999999</v>
      </c>
      <c r="P251" s="221">
        <f t="shared" si="449"/>
        <v>0.60556704545454543</v>
      </c>
      <c r="Q251" s="221">
        <f t="shared" si="450"/>
        <v>16</v>
      </c>
      <c r="R251" s="221"/>
      <c r="S251" s="176">
        <f t="shared" si="451"/>
        <v>422.88738807582456</v>
      </c>
      <c r="T251" s="176">
        <f t="shared" si="452"/>
        <v>16</v>
      </c>
      <c r="U251" s="221">
        <f t="shared" si="453"/>
        <v>0.17893972403776323</v>
      </c>
      <c r="V251" s="221">
        <f t="shared" si="454"/>
        <v>0.11183732752360202</v>
      </c>
      <c r="W251" s="221">
        <f t="shared" si="455"/>
        <v>0.27411109687157365</v>
      </c>
      <c r="X251" s="201">
        <f t="shared" si="456"/>
        <v>350</v>
      </c>
      <c r="Y251" s="451">
        <f t="shared" si="418"/>
        <v>350</v>
      </c>
      <c r="AA251" s="221">
        <f t="shared" si="457"/>
        <v>1.3246753246753247</v>
      </c>
      <c r="AB251" s="177">
        <f t="shared" si="458"/>
        <v>2.029220779220779</v>
      </c>
      <c r="AC251" s="177">
        <f t="shared" si="459"/>
        <v>0.5644923258559621</v>
      </c>
      <c r="AD251" s="177"/>
      <c r="AE251" s="177">
        <f t="shared" si="460"/>
        <v>0.4595588235294118</v>
      </c>
      <c r="AF251" s="555">
        <f t="shared" si="461"/>
        <v>846.22222222222229</v>
      </c>
      <c r="AG251" s="538">
        <f t="shared" si="462"/>
        <v>2.8952205882352939E-2</v>
      </c>
      <c r="AI251" s="177">
        <f t="shared" si="463"/>
        <v>0.46647615158762401</v>
      </c>
      <c r="AJ251" s="177">
        <f t="shared" si="464"/>
        <v>0.46647615158762401</v>
      </c>
      <c r="AK251" s="177">
        <f t="shared" si="465"/>
        <v>1.310984101058416</v>
      </c>
      <c r="AM251" s="555">
        <f t="shared" si="466"/>
        <v>69.999999999999986</v>
      </c>
      <c r="AN251" s="469">
        <f t="shared" si="467"/>
        <v>350</v>
      </c>
      <c r="AP251">
        <f t="shared" si="468"/>
        <v>69.999999999999986</v>
      </c>
      <c r="AQ251">
        <f t="shared" si="469"/>
        <v>350</v>
      </c>
      <c r="AS251" s="5">
        <f t="shared" si="364"/>
        <v>2.8571428571428572</v>
      </c>
      <c r="AT251" s="5">
        <f t="shared" si="470"/>
        <v>0.29154759474226505</v>
      </c>
      <c r="AU251" s="5">
        <f t="shared" si="440"/>
        <v>2.565595262400592</v>
      </c>
      <c r="AV251" s="5"/>
      <c r="AW251" s="177">
        <f t="shared" si="441"/>
        <v>0.10204165815979277</v>
      </c>
      <c r="AX251" s="177"/>
      <c r="BA251" s="469">
        <f t="shared" si="471"/>
        <v>5.4827721650935404</v>
      </c>
      <c r="BB251" s="469">
        <f t="shared" si="472"/>
        <v>0.31520504166666663</v>
      </c>
      <c r="BC251" s="5">
        <f t="shared" si="442"/>
        <v>4.1572145455565139E-2</v>
      </c>
      <c r="BD251" s="469">
        <f t="shared" si="473"/>
        <v>0</v>
      </c>
      <c r="BQ251" s="538">
        <f t="shared" si="474"/>
        <v>2.6739999999999996E-2</v>
      </c>
      <c r="CG251" s="571">
        <f t="shared" si="475"/>
        <v>-50</v>
      </c>
      <c r="CH251">
        <f t="shared" si="476"/>
        <v>-50</v>
      </c>
    </row>
    <row r="252" spans="5:86" x14ac:dyDescent="0.25">
      <c r="E252" s="174">
        <v>36</v>
      </c>
      <c r="F252" s="221">
        <f t="shared" si="477"/>
        <v>7.1999999999999995E-2</v>
      </c>
      <c r="G252" s="221"/>
      <c r="H252" s="221">
        <f t="shared" si="443"/>
        <v>1.1519999999999999</v>
      </c>
      <c r="I252" s="551">
        <f t="shared" si="444"/>
        <v>48</v>
      </c>
      <c r="J252" s="451">
        <f t="shared" si="445"/>
        <v>19.584</v>
      </c>
      <c r="K252" s="451">
        <f t="shared" si="446"/>
        <v>67.584000000000003</v>
      </c>
      <c r="L252" s="451"/>
      <c r="M252" s="221">
        <f t="shared" si="447"/>
        <v>0.28977272727272724</v>
      </c>
      <c r="N252" s="176">
        <f t="shared" si="448"/>
        <v>9.6890727272727268</v>
      </c>
      <c r="O252" s="176">
        <f t="shared" si="363"/>
        <v>1.1519999999999999</v>
      </c>
      <c r="P252" s="221">
        <f t="shared" si="449"/>
        <v>0.60556704545454543</v>
      </c>
      <c r="Q252" s="221">
        <f t="shared" si="450"/>
        <v>16</v>
      </c>
      <c r="R252" s="221"/>
      <c r="S252" s="176">
        <f t="shared" si="451"/>
        <v>410.03119279345299</v>
      </c>
      <c r="T252" s="176">
        <f t="shared" si="452"/>
        <v>16</v>
      </c>
      <c r="U252" s="221">
        <f t="shared" si="453"/>
        <v>0.18405228758169934</v>
      </c>
      <c r="V252" s="221">
        <f t="shared" si="454"/>
        <v>0.11503267973856209</v>
      </c>
      <c r="W252" s="221">
        <f t="shared" si="455"/>
        <v>0.28194284249647567</v>
      </c>
      <c r="X252" s="201">
        <f t="shared" si="456"/>
        <v>350</v>
      </c>
      <c r="Y252" s="451">
        <f t="shared" si="418"/>
        <v>350</v>
      </c>
      <c r="AA252" s="221">
        <f t="shared" si="457"/>
        <v>1.3246753246753247</v>
      </c>
      <c r="AB252" s="177">
        <f t="shared" si="458"/>
        <v>2.029220779220779</v>
      </c>
      <c r="AC252" s="177">
        <f t="shared" si="459"/>
        <v>0.5644923258559621</v>
      </c>
      <c r="AD252" s="177"/>
      <c r="AE252" s="177">
        <f t="shared" si="460"/>
        <v>0.4595588235294118</v>
      </c>
      <c r="AF252" s="555">
        <f t="shared" si="461"/>
        <v>870.4</v>
      </c>
      <c r="AG252" s="538">
        <f t="shared" si="462"/>
        <v>2.8952205882352939E-2</v>
      </c>
      <c r="AI252" s="177">
        <f t="shared" si="463"/>
        <v>0.47309316509239785</v>
      </c>
      <c r="AJ252" s="177">
        <f t="shared" si="464"/>
        <v>0.47309316509239785</v>
      </c>
      <c r="AK252" s="177">
        <f t="shared" si="465"/>
        <v>1.315395443394932</v>
      </c>
      <c r="AM252" s="555">
        <f t="shared" si="466"/>
        <v>72</v>
      </c>
      <c r="AN252" s="469">
        <f t="shared" si="467"/>
        <v>350</v>
      </c>
      <c r="AP252">
        <f t="shared" si="468"/>
        <v>72</v>
      </c>
      <c r="AQ252">
        <f t="shared" si="469"/>
        <v>350</v>
      </c>
      <c r="AS252" s="5">
        <f t="shared" si="364"/>
        <v>2.8571428571428572</v>
      </c>
      <c r="AT252" s="5">
        <f t="shared" si="470"/>
        <v>0.29568322818274867</v>
      </c>
      <c r="AU252" s="5">
        <f t="shared" si="440"/>
        <v>2.5614596289601086</v>
      </c>
      <c r="AV252" s="5"/>
      <c r="AW252" s="177">
        <f t="shared" si="441"/>
        <v>0.10348912986396203</v>
      </c>
      <c r="AX252" s="177"/>
      <c r="BA252" s="469">
        <f t="shared" si="471"/>
        <v>5.4827721650935404</v>
      </c>
      <c r="BB252" s="469">
        <f t="shared" si="472"/>
        <v>0.32730263999999998</v>
      </c>
      <c r="BC252" s="5">
        <f t="shared" si="442"/>
        <v>4.2690993816001804E-2</v>
      </c>
      <c r="BD252" s="469">
        <f t="shared" si="473"/>
        <v>0</v>
      </c>
      <c r="BQ252" s="538">
        <f t="shared" si="474"/>
        <v>2.7503999999999997E-2</v>
      </c>
      <c r="CG252" s="571">
        <f t="shared" si="475"/>
        <v>-50</v>
      </c>
      <c r="CH252">
        <f t="shared" si="476"/>
        <v>-50</v>
      </c>
    </row>
    <row r="253" spans="5:86" x14ac:dyDescent="0.25">
      <c r="E253" s="174">
        <v>37</v>
      </c>
      <c r="F253" s="221">
        <f t="shared" si="477"/>
        <v>7.3999999999999996E-2</v>
      </c>
      <c r="G253" s="221"/>
      <c r="H253" s="221">
        <f t="shared" si="443"/>
        <v>1.1839999999999999</v>
      </c>
      <c r="I253" s="551">
        <f t="shared" si="444"/>
        <v>48</v>
      </c>
      <c r="J253" s="451">
        <f t="shared" si="445"/>
        <v>19.584</v>
      </c>
      <c r="K253" s="451">
        <f t="shared" si="446"/>
        <v>67.584000000000003</v>
      </c>
      <c r="L253" s="451"/>
      <c r="M253" s="221">
        <f t="shared" si="447"/>
        <v>0.28977272727272724</v>
      </c>
      <c r="N253" s="176">
        <f t="shared" si="448"/>
        <v>9.6890727272727268</v>
      </c>
      <c r="O253" s="176">
        <f t="shared" si="363"/>
        <v>1.1839999999999999</v>
      </c>
      <c r="P253" s="221">
        <f t="shared" si="449"/>
        <v>0.60556704545454543</v>
      </c>
      <c r="Q253" s="221">
        <f t="shared" si="450"/>
        <v>16</v>
      </c>
      <c r="R253" s="221"/>
      <c r="S253" s="176">
        <f t="shared" si="451"/>
        <v>397.86998329738452</v>
      </c>
      <c r="T253" s="176">
        <f t="shared" si="452"/>
        <v>16</v>
      </c>
      <c r="U253" s="221">
        <f t="shared" si="453"/>
        <v>0.18916485112563544</v>
      </c>
      <c r="V253" s="221">
        <f t="shared" si="454"/>
        <v>0.11822803195352215</v>
      </c>
      <c r="W253" s="221">
        <f t="shared" si="455"/>
        <v>0.2897745881213778</v>
      </c>
      <c r="X253" s="201">
        <f t="shared" si="456"/>
        <v>350</v>
      </c>
      <c r="Y253" s="451">
        <f t="shared" si="418"/>
        <v>350</v>
      </c>
      <c r="AA253" s="221">
        <f t="shared" si="457"/>
        <v>1.3246753246753247</v>
      </c>
      <c r="AB253" s="177">
        <f t="shared" si="458"/>
        <v>2.029220779220779</v>
      </c>
      <c r="AC253" s="177">
        <f t="shared" si="459"/>
        <v>0.5644923258559621</v>
      </c>
      <c r="AD253" s="177"/>
      <c r="AE253" s="177">
        <f t="shared" si="460"/>
        <v>0.4595588235294118</v>
      </c>
      <c r="AF253" s="555">
        <f t="shared" si="461"/>
        <v>894.5777777777779</v>
      </c>
      <c r="AG253" s="538">
        <f t="shared" si="462"/>
        <v>2.8952205882352939E-2</v>
      </c>
      <c r="AI253" s="177">
        <f t="shared" si="463"/>
        <v>0.47961889632737126</v>
      </c>
      <c r="AJ253" s="177">
        <f t="shared" si="464"/>
        <v>0.47961889632737126</v>
      </c>
      <c r="AK253" s="177">
        <f t="shared" si="465"/>
        <v>1.3197459308849142</v>
      </c>
      <c r="AM253" s="555">
        <f t="shared" si="466"/>
        <v>74</v>
      </c>
      <c r="AN253" s="469">
        <f t="shared" si="467"/>
        <v>350</v>
      </c>
      <c r="AP253">
        <f t="shared" si="468"/>
        <v>74</v>
      </c>
      <c r="AQ253">
        <f t="shared" si="469"/>
        <v>350</v>
      </c>
      <c r="AS253" s="5">
        <f t="shared" si="364"/>
        <v>2.8571428571428572</v>
      </c>
      <c r="AT253" s="5">
        <f t="shared" si="470"/>
        <v>0.29976181020460702</v>
      </c>
      <c r="AU253" s="5">
        <f t="shared" si="440"/>
        <v>2.5573810469382501</v>
      </c>
      <c r="AV253" s="5"/>
      <c r="AW253" s="177">
        <f t="shared" si="441"/>
        <v>0.10491663357161245</v>
      </c>
      <c r="AX253" s="177"/>
      <c r="BA253" s="469">
        <f t="shared" si="471"/>
        <v>5.4827721650935404</v>
      </c>
      <c r="BB253" s="469">
        <f t="shared" si="472"/>
        <v>0.33957200166666662</v>
      </c>
      <c r="BC253" s="5">
        <f t="shared" si="442"/>
        <v>4.3806990155886683E-2</v>
      </c>
      <c r="BD253" s="469">
        <f t="shared" si="473"/>
        <v>0</v>
      </c>
      <c r="BQ253" s="538">
        <f t="shared" si="474"/>
        <v>2.8268000000000001E-2</v>
      </c>
      <c r="CG253" s="571">
        <f t="shared" si="475"/>
        <v>-50</v>
      </c>
      <c r="CH253">
        <f t="shared" si="476"/>
        <v>-50</v>
      </c>
    </row>
    <row r="254" spans="5:86" x14ac:dyDescent="0.25">
      <c r="E254" s="174">
        <v>38</v>
      </c>
      <c r="F254" s="221">
        <f t="shared" si="477"/>
        <v>7.6000000000000012E-2</v>
      </c>
      <c r="G254" s="221"/>
      <c r="H254" s="221">
        <f t="shared" si="443"/>
        <v>1.2160000000000002</v>
      </c>
      <c r="I254" s="551">
        <f t="shared" si="444"/>
        <v>48</v>
      </c>
      <c r="J254" s="451">
        <f t="shared" si="445"/>
        <v>19.584</v>
      </c>
      <c r="K254" s="451">
        <f t="shared" si="446"/>
        <v>67.584000000000003</v>
      </c>
      <c r="L254" s="451"/>
      <c r="M254" s="221">
        <f t="shared" si="447"/>
        <v>0.28977272727272724</v>
      </c>
      <c r="N254" s="176">
        <f t="shared" si="448"/>
        <v>9.6890727272727268</v>
      </c>
      <c r="O254" s="176">
        <f t="shared" si="363"/>
        <v>1.2160000000000002</v>
      </c>
      <c r="P254" s="221">
        <f t="shared" si="449"/>
        <v>0.60556704545454543</v>
      </c>
      <c r="Q254" s="221">
        <f t="shared" si="450"/>
        <v>16</v>
      </c>
      <c r="R254" s="221"/>
      <c r="S254" s="176">
        <f t="shared" si="451"/>
        <v>386.34889273138242</v>
      </c>
      <c r="T254" s="176">
        <f t="shared" si="452"/>
        <v>16</v>
      </c>
      <c r="U254" s="221">
        <f t="shared" si="453"/>
        <v>0.19427741466957157</v>
      </c>
      <c r="V254" s="221">
        <f t="shared" si="454"/>
        <v>0.12142338416848224</v>
      </c>
      <c r="W254" s="221">
        <f t="shared" si="455"/>
        <v>0.29760633374628004</v>
      </c>
      <c r="X254" s="201">
        <f t="shared" si="456"/>
        <v>350</v>
      </c>
      <c r="Y254" s="451">
        <f t="shared" si="418"/>
        <v>350</v>
      </c>
      <c r="AA254" s="221">
        <f t="shared" si="457"/>
        <v>1.3246753246753247</v>
      </c>
      <c r="AB254" s="177">
        <f t="shared" si="458"/>
        <v>2.029220779220779</v>
      </c>
      <c r="AC254" s="177">
        <f t="shared" si="459"/>
        <v>0.5644923258559621</v>
      </c>
      <c r="AD254" s="177"/>
      <c r="AE254" s="177">
        <f t="shared" si="460"/>
        <v>0.4595588235294118</v>
      </c>
      <c r="AF254" s="555">
        <f t="shared" si="461"/>
        <v>918.7555555555557</v>
      </c>
      <c r="AG254" s="538">
        <f t="shared" si="462"/>
        <v>2.8952205882352939E-2</v>
      </c>
      <c r="AI254" s="177">
        <f t="shared" si="463"/>
        <v>0.4860570219340819</v>
      </c>
      <c r="AJ254" s="177">
        <f t="shared" si="464"/>
        <v>0.4860570219340819</v>
      </c>
      <c r="AK254" s="177">
        <f t="shared" si="465"/>
        <v>1.3240380146227213</v>
      </c>
      <c r="AM254" s="555">
        <f t="shared" si="466"/>
        <v>76.000000000000014</v>
      </c>
      <c r="AN254" s="469">
        <f t="shared" si="467"/>
        <v>350</v>
      </c>
      <c r="AP254">
        <f t="shared" si="468"/>
        <v>76.000000000000014</v>
      </c>
      <c r="AQ254">
        <f t="shared" si="469"/>
        <v>350</v>
      </c>
      <c r="AS254" s="5">
        <f t="shared" si="364"/>
        <v>2.8571428571428572</v>
      </c>
      <c r="AT254" s="5">
        <f t="shared" si="470"/>
        <v>0.30378563870880121</v>
      </c>
      <c r="AU254" s="5">
        <f t="shared" si="440"/>
        <v>2.5533572184340558</v>
      </c>
      <c r="AV254" s="5"/>
      <c r="AW254" s="177">
        <f t="shared" si="441"/>
        <v>0.10632497354808042</v>
      </c>
      <c r="AX254" s="177"/>
      <c r="BA254" s="469">
        <f t="shared" si="471"/>
        <v>5.4827721650935404</v>
      </c>
      <c r="BB254" s="469">
        <f t="shared" si="472"/>
        <v>0.35201312666666673</v>
      </c>
      <c r="BC254" s="5">
        <f t="shared" si="442"/>
        <v>4.4920173287265802E-2</v>
      </c>
      <c r="BD254" s="469">
        <f t="shared" si="473"/>
        <v>0</v>
      </c>
      <c r="BQ254" s="538">
        <f t="shared" si="474"/>
        <v>2.9032000000000006E-2</v>
      </c>
      <c r="CG254" s="571">
        <f t="shared" si="475"/>
        <v>-50</v>
      </c>
      <c r="CH254">
        <f t="shared" si="476"/>
        <v>-50</v>
      </c>
    </row>
    <row r="255" spans="5:86" x14ac:dyDescent="0.25">
      <c r="E255" s="174">
        <v>39</v>
      </c>
      <c r="F255" s="221">
        <f t="shared" si="477"/>
        <v>7.8000000000000014E-2</v>
      </c>
      <c r="G255" s="221"/>
      <c r="H255" s="221">
        <f t="shared" si="443"/>
        <v>1.2480000000000002</v>
      </c>
      <c r="I255" s="551">
        <f t="shared" si="444"/>
        <v>48</v>
      </c>
      <c r="J255" s="451">
        <f t="shared" si="445"/>
        <v>19.584</v>
      </c>
      <c r="K255" s="451">
        <f t="shared" si="446"/>
        <v>67.584000000000003</v>
      </c>
      <c r="L255" s="451"/>
      <c r="M255" s="221">
        <f t="shared" si="447"/>
        <v>0.28977272727272724</v>
      </c>
      <c r="N255" s="176">
        <f t="shared" si="448"/>
        <v>9.6890727272727268</v>
      </c>
      <c r="O255" s="176">
        <f t="shared" si="363"/>
        <v>1.2480000000000002</v>
      </c>
      <c r="P255" s="221">
        <f t="shared" si="449"/>
        <v>0.60556704545454543</v>
      </c>
      <c r="Q255" s="221">
        <f t="shared" si="450"/>
        <v>16</v>
      </c>
      <c r="R255" s="221"/>
      <c r="S255" s="176">
        <f t="shared" si="451"/>
        <v>375.41868161368978</v>
      </c>
      <c r="T255" s="176">
        <f t="shared" si="452"/>
        <v>16</v>
      </c>
      <c r="U255" s="221">
        <f t="shared" si="453"/>
        <v>0.19938997821350768</v>
      </c>
      <c r="V255" s="221">
        <f t="shared" si="454"/>
        <v>0.1246187363834423</v>
      </c>
      <c r="W255" s="221">
        <f t="shared" si="455"/>
        <v>0.30543807937118211</v>
      </c>
      <c r="X255" s="201">
        <f t="shared" si="456"/>
        <v>350</v>
      </c>
      <c r="Y255" s="451">
        <f t="shared" si="418"/>
        <v>350</v>
      </c>
      <c r="AA255" s="221">
        <f t="shared" si="457"/>
        <v>1.3246753246753247</v>
      </c>
      <c r="AB255" s="177">
        <f t="shared" si="458"/>
        <v>2.029220779220779</v>
      </c>
      <c r="AC255" s="177">
        <f t="shared" si="459"/>
        <v>0.5644923258559621</v>
      </c>
      <c r="AD255" s="177"/>
      <c r="AE255" s="177">
        <f t="shared" si="460"/>
        <v>0.4595588235294118</v>
      </c>
      <c r="AF255" s="555">
        <f t="shared" si="461"/>
        <v>942.93333333333362</v>
      </c>
      <c r="AG255" s="538">
        <f t="shared" si="462"/>
        <v>2.8952205882352939E-2</v>
      </c>
      <c r="AI255" s="177">
        <f t="shared" si="463"/>
        <v>0.49241097817633134</v>
      </c>
      <c r="AJ255" s="177">
        <f t="shared" si="464"/>
        <v>0.49241097817633134</v>
      </c>
      <c r="AK255" s="177">
        <f t="shared" si="465"/>
        <v>1.3282739854508876</v>
      </c>
      <c r="AM255" s="555">
        <f t="shared" si="466"/>
        <v>78.000000000000014</v>
      </c>
      <c r="AN255" s="469">
        <f t="shared" si="467"/>
        <v>350</v>
      </c>
      <c r="AP255">
        <f t="shared" si="468"/>
        <v>78.000000000000014</v>
      </c>
      <c r="AQ255">
        <f t="shared" si="469"/>
        <v>350</v>
      </c>
      <c r="AS255" s="5">
        <f t="shared" si="364"/>
        <v>2.8571428571428572</v>
      </c>
      <c r="AT255" s="5">
        <f t="shared" si="470"/>
        <v>0.30775686136020708</v>
      </c>
      <c r="AU255" s="5">
        <f t="shared" si="440"/>
        <v>2.5493859957826501</v>
      </c>
      <c r="AV255" s="5"/>
      <c r="AW255" s="177">
        <f t="shared" si="441"/>
        <v>0.10771490147607247</v>
      </c>
      <c r="AX255" s="177"/>
      <c r="BA255" s="469">
        <f t="shared" si="471"/>
        <v>5.4827721650935404</v>
      </c>
      <c r="BB255" s="469">
        <f t="shared" si="472"/>
        <v>0.36462601500000014</v>
      </c>
      <c r="BC255" s="5">
        <f t="shared" si="442"/>
        <v>4.6030580479408965E-2</v>
      </c>
      <c r="BD255" s="469">
        <f t="shared" si="473"/>
        <v>0</v>
      </c>
      <c r="BQ255" s="538">
        <f t="shared" si="474"/>
        <v>2.9796000000000003E-2</v>
      </c>
      <c r="CG255" s="571">
        <f t="shared" si="475"/>
        <v>-50</v>
      </c>
      <c r="CH255">
        <f t="shared" si="476"/>
        <v>-50</v>
      </c>
    </row>
    <row r="256" spans="5:86" x14ac:dyDescent="0.25">
      <c r="E256" s="174">
        <v>40</v>
      </c>
      <c r="F256" s="221">
        <f t="shared" si="477"/>
        <v>8.0000000000000016E-2</v>
      </c>
      <c r="G256" s="221"/>
      <c r="H256" s="221">
        <f t="shared" si="443"/>
        <v>1.2800000000000002</v>
      </c>
      <c r="I256" s="551">
        <f t="shared" si="444"/>
        <v>48</v>
      </c>
      <c r="J256" s="451">
        <f t="shared" si="445"/>
        <v>19.584</v>
      </c>
      <c r="K256" s="451">
        <f t="shared" si="446"/>
        <v>67.584000000000003</v>
      </c>
      <c r="L256" s="451"/>
      <c r="M256" s="221">
        <f t="shared" si="447"/>
        <v>0.28977272727272724</v>
      </c>
      <c r="N256" s="176">
        <f t="shared" si="448"/>
        <v>9.6890727272727268</v>
      </c>
      <c r="O256" s="176">
        <f t="shared" si="363"/>
        <v>1.2800000000000002</v>
      </c>
      <c r="P256" s="221">
        <f t="shared" si="449"/>
        <v>0.60556704545454543</v>
      </c>
      <c r="Q256" s="221">
        <f t="shared" si="450"/>
        <v>16</v>
      </c>
      <c r="R256" s="221"/>
      <c r="S256" s="176">
        <f t="shared" si="451"/>
        <v>365.03503441527897</v>
      </c>
      <c r="T256" s="176">
        <f t="shared" si="452"/>
        <v>16</v>
      </c>
      <c r="U256" s="221">
        <f t="shared" si="453"/>
        <v>0.20450254175744376</v>
      </c>
      <c r="V256" s="221">
        <f t="shared" si="454"/>
        <v>0.12781408859840235</v>
      </c>
      <c r="W256" s="221">
        <f t="shared" si="455"/>
        <v>0.31326982499608419</v>
      </c>
      <c r="X256" s="201">
        <f t="shared" si="456"/>
        <v>350</v>
      </c>
      <c r="Y256" s="451">
        <f t="shared" si="418"/>
        <v>350</v>
      </c>
      <c r="AA256" s="221">
        <f t="shared" si="457"/>
        <v>1.3246753246753247</v>
      </c>
      <c r="AB256" s="177">
        <f t="shared" si="458"/>
        <v>2.029220779220779</v>
      </c>
      <c r="AC256" s="177">
        <f t="shared" si="459"/>
        <v>0.5644923258559621</v>
      </c>
      <c r="AD256" s="177"/>
      <c r="AE256" s="177">
        <f t="shared" si="460"/>
        <v>0.4595588235294118</v>
      </c>
      <c r="AF256" s="555">
        <f t="shared" si="461"/>
        <v>967.11111111111131</v>
      </c>
      <c r="AG256" s="538">
        <f t="shared" si="462"/>
        <v>2.8952205882352939E-2</v>
      </c>
      <c r="AI256" s="177">
        <f t="shared" si="463"/>
        <v>0.49868398238334699</v>
      </c>
      <c r="AJ256" s="177">
        <f t="shared" si="464"/>
        <v>0.49868398238334699</v>
      </c>
      <c r="AK256" s="177">
        <f t="shared" si="465"/>
        <v>1.3324559882555647</v>
      </c>
      <c r="AM256" s="555">
        <f t="shared" si="466"/>
        <v>80.000000000000014</v>
      </c>
      <c r="AN256" s="469">
        <f t="shared" si="467"/>
        <v>350</v>
      </c>
      <c r="AP256">
        <f t="shared" si="468"/>
        <v>80.000000000000014</v>
      </c>
      <c r="AQ256">
        <f t="shared" si="469"/>
        <v>350</v>
      </c>
      <c r="AS256" s="5">
        <f t="shared" si="364"/>
        <v>2.8571428571428572</v>
      </c>
      <c r="AT256" s="5">
        <f t="shared" si="470"/>
        <v>0.31167748898959186</v>
      </c>
      <c r="AU256" s="5">
        <f t="shared" si="440"/>
        <v>2.5454653681532653</v>
      </c>
      <c r="AV256" s="5"/>
      <c r="AW256" s="177">
        <f t="shared" si="441"/>
        <v>0.10908712114635714</v>
      </c>
      <c r="AX256" s="177"/>
      <c r="BA256" s="469">
        <f t="shared" si="471"/>
        <v>5.4827721650935404</v>
      </c>
      <c r="BB256" s="469">
        <f t="shared" si="472"/>
        <v>0.37741066666666678</v>
      </c>
      <c r="BC256" s="5">
        <f t="shared" si="442"/>
        <v>4.7138247558393805E-2</v>
      </c>
      <c r="BD256" s="469">
        <f t="shared" si="473"/>
        <v>0</v>
      </c>
      <c r="BQ256" s="538">
        <f t="shared" si="474"/>
        <v>3.0560000000000007E-2</v>
      </c>
      <c r="CG256" s="571">
        <f t="shared" si="475"/>
        <v>-50</v>
      </c>
      <c r="CH256">
        <f t="shared" si="476"/>
        <v>-50</v>
      </c>
    </row>
    <row r="257" spans="5:86" x14ac:dyDescent="0.25">
      <c r="E257" s="174">
        <v>41</v>
      </c>
      <c r="F257" s="221">
        <f t="shared" si="477"/>
        <v>8.2000000000000003E-2</v>
      </c>
      <c r="G257" s="221"/>
      <c r="H257" s="221">
        <f t="shared" si="443"/>
        <v>1.3120000000000001</v>
      </c>
      <c r="I257" s="551">
        <f t="shared" si="444"/>
        <v>48</v>
      </c>
      <c r="J257" s="451">
        <f t="shared" si="445"/>
        <v>19.584</v>
      </c>
      <c r="K257" s="451">
        <f t="shared" si="446"/>
        <v>67.584000000000003</v>
      </c>
      <c r="L257" s="451"/>
      <c r="M257" s="221">
        <f t="shared" si="447"/>
        <v>0.28977272727272724</v>
      </c>
      <c r="N257" s="176">
        <f t="shared" si="448"/>
        <v>9.6890727272727268</v>
      </c>
      <c r="O257" s="176">
        <f t="shared" si="363"/>
        <v>1.3120000000000001</v>
      </c>
      <c r="P257" s="221">
        <f t="shared" si="449"/>
        <v>0.60556704545454543</v>
      </c>
      <c r="Q257" s="221">
        <f t="shared" si="450"/>
        <v>16</v>
      </c>
      <c r="R257" s="221"/>
      <c r="S257" s="176">
        <f t="shared" si="451"/>
        <v>355.15795907787054</v>
      </c>
      <c r="T257" s="176">
        <f t="shared" si="452"/>
        <v>16</v>
      </c>
      <c r="U257" s="221">
        <f t="shared" si="453"/>
        <v>0.20961510530137983</v>
      </c>
      <c r="V257" s="221">
        <f t="shared" si="454"/>
        <v>0.13100944081336238</v>
      </c>
      <c r="W257" s="221">
        <f t="shared" si="455"/>
        <v>0.32110157062098627</v>
      </c>
      <c r="X257" s="201">
        <f t="shared" si="456"/>
        <v>350</v>
      </c>
      <c r="Y257" s="451">
        <f t="shared" si="418"/>
        <v>350</v>
      </c>
      <c r="AA257" s="221">
        <f t="shared" si="457"/>
        <v>1.3246753246753247</v>
      </c>
      <c r="AB257" s="177">
        <f t="shared" si="458"/>
        <v>2.029220779220779</v>
      </c>
      <c r="AC257" s="177">
        <f t="shared" si="459"/>
        <v>0.5644923258559621</v>
      </c>
      <c r="AD257" s="177"/>
      <c r="AE257" s="177">
        <f t="shared" si="460"/>
        <v>0.4595588235294118</v>
      </c>
      <c r="AF257" s="555">
        <f t="shared" si="461"/>
        <v>991.28888888888901</v>
      </c>
      <c r="AG257" s="538">
        <f t="shared" si="462"/>
        <v>2.8952205882352939E-2</v>
      </c>
      <c r="AI257" s="177">
        <f t="shared" si="463"/>
        <v>0.50487905199449223</v>
      </c>
      <c r="AJ257" s="177">
        <f t="shared" si="464"/>
        <v>0.50487905199449223</v>
      </c>
      <c r="AK257" s="177">
        <f t="shared" si="465"/>
        <v>1.3365860346629947</v>
      </c>
      <c r="AM257" s="555">
        <f t="shared" si="466"/>
        <v>82</v>
      </c>
      <c r="AN257" s="469">
        <f t="shared" si="467"/>
        <v>350</v>
      </c>
      <c r="AP257">
        <f t="shared" si="468"/>
        <v>82</v>
      </c>
      <c r="AQ257">
        <f t="shared" si="469"/>
        <v>350</v>
      </c>
      <c r="AS257" s="5">
        <f t="shared" si="364"/>
        <v>2.8571428571428572</v>
      </c>
      <c r="AT257" s="5">
        <f t="shared" si="470"/>
        <v>0.31554940749655769</v>
      </c>
      <c r="AU257" s="5">
        <f t="shared" si="440"/>
        <v>2.5415934496462995</v>
      </c>
      <c r="AV257" s="5"/>
      <c r="AW257" s="177">
        <f t="shared" si="441"/>
        <v>0.11044229262379519</v>
      </c>
      <c r="AX257" s="177"/>
      <c r="BA257" s="469">
        <f t="shared" si="471"/>
        <v>5.4827721650935404</v>
      </c>
      <c r="BB257" s="469">
        <f t="shared" si="472"/>
        <v>0.39036708166666667</v>
      </c>
      <c r="BC257" s="5">
        <f t="shared" si="442"/>
        <v>4.8243208997915864E-2</v>
      </c>
      <c r="BD257" s="469">
        <f t="shared" si="473"/>
        <v>0</v>
      </c>
      <c r="BQ257" s="538">
        <f t="shared" si="474"/>
        <v>3.1324000000000005E-2</v>
      </c>
      <c r="CG257" s="571">
        <f t="shared" si="475"/>
        <v>-50</v>
      </c>
      <c r="CH257">
        <f t="shared" si="476"/>
        <v>-50</v>
      </c>
    </row>
    <row r="258" spans="5:86" x14ac:dyDescent="0.25">
      <c r="E258" s="174">
        <v>42</v>
      </c>
      <c r="F258" s="221">
        <f t="shared" si="477"/>
        <v>8.4000000000000005E-2</v>
      </c>
      <c r="G258" s="221"/>
      <c r="H258" s="221">
        <f t="shared" si="443"/>
        <v>1.3440000000000001</v>
      </c>
      <c r="I258" s="551">
        <f t="shared" si="444"/>
        <v>48</v>
      </c>
      <c r="J258" s="451">
        <f t="shared" si="445"/>
        <v>19.584</v>
      </c>
      <c r="K258" s="451">
        <f t="shared" si="446"/>
        <v>67.584000000000003</v>
      </c>
      <c r="L258" s="451"/>
      <c r="M258" s="221">
        <f t="shared" si="447"/>
        <v>0.28977272727272724</v>
      </c>
      <c r="N258" s="176">
        <f t="shared" si="448"/>
        <v>9.6890727272727268</v>
      </c>
      <c r="O258" s="176">
        <f t="shared" si="363"/>
        <v>1.3440000000000001</v>
      </c>
      <c r="P258" s="221">
        <f t="shared" si="449"/>
        <v>0.60556704545454543</v>
      </c>
      <c r="Q258" s="221">
        <f t="shared" si="450"/>
        <v>16</v>
      </c>
      <c r="R258" s="221"/>
      <c r="S258" s="176">
        <f t="shared" si="451"/>
        <v>345.75127231509299</v>
      </c>
      <c r="T258" s="176">
        <f t="shared" si="452"/>
        <v>16</v>
      </c>
      <c r="U258" s="221">
        <f t="shared" si="453"/>
        <v>0.21472766884531594</v>
      </c>
      <c r="V258" s="221">
        <f t="shared" si="454"/>
        <v>0.13420479302832247</v>
      </c>
      <c r="W258" s="221">
        <f t="shared" si="455"/>
        <v>0.3289333162458884</v>
      </c>
      <c r="X258" s="201">
        <f t="shared" si="456"/>
        <v>350</v>
      </c>
      <c r="Y258" s="451">
        <f t="shared" si="418"/>
        <v>350</v>
      </c>
      <c r="AA258" s="221">
        <f t="shared" si="457"/>
        <v>1.3246753246753247</v>
      </c>
      <c r="AB258" s="177">
        <f t="shared" si="458"/>
        <v>2.029220779220779</v>
      </c>
      <c r="AC258" s="177">
        <f t="shared" si="459"/>
        <v>0.5644923258559621</v>
      </c>
      <c r="AD258" s="177"/>
      <c r="AE258" s="177">
        <f t="shared" si="460"/>
        <v>0.4595588235294118</v>
      </c>
      <c r="AF258" s="555">
        <f t="shared" si="461"/>
        <v>1015.4666666666668</v>
      </c>
      <c r="AG258" s="538">
        <f t="shared" si="462"/>
        <v>2.8952205882352939E-2</v>
      </c>
      <c r="AI258" s="177">
        <f t="shared" si="463"/>
        <v>0.51099902152548204</v>
      </c>
      <c r="AJ258" s="177">
        <f t="shared" si="464"/>
        <v>0.51099902152548204</v>
      </c>
      <c r="AK258" s="177">
        <f t="shared" si="465"/>
        <v>1.3406660143503213</v>
      </c>
      <c r="AM258" s="555">
        <f t="shared" si="466"/>
        <v>84</v>
      </c>
      <c r="AN258" s="469">
        <f t="shared" si="467"/>
        <v>350</v>
      </c>
      <c r="AP258">
        <f t="shared" si="468"/>
        <v>84</v>
      </c>
      <c r="AQ258">
        <f t="shared" si="469"/>
        <v>350</v>
      </c>
      <c r="AS258" s="5">
        <f t="shared" si="364"/>
        <v>2.8571428571428572</v>
      </c>
      <c r="AT258" s="5">
        <f t="shared" si="470"/>
        <v>0.31937438845342636</v>
      </c>
      <c r="AU258" s="5">
        <f t="shared" si="440"/>
        <v>2.5377684686894311</v>
      </c>
      <c r="AV258" s="5"/>
      <c r="AW258" s="177">
        <f t="shared" si="441"/>
        <v>0.11178103595869922</v>
      </c>
      <c r="AX258" s="177"/>
      <c r="BA258" s="469">
        <f t="shared" si="471"/>
        <v>5.4827721650935404</v>
      </c>
      <c r="BB258" s="469">
        <f t="shared" si="472"/>
        <v>0.40349526000000002</v>
      </c>
      <c r="BC258" s="5">
        <f t="shared" si="442"/>
        <v>4.9345498002294493E-2</v>
      </c>
      <c r="BD258" s="469">
        <f t="shared" si="473"/>
        <v>0</v>
      </c>
      <c r="BQ258" s="538">
        <f t="shared" si="474"/>
        <v>3.2088000000000005E-2</v>
      </c>
      <c r="CG258" s="571">
        <f t="shared" si="475"/>
        <v>-50</v>
      </c>
      <c r="CH258">
        <f t="shared" si="476"/>
        <v>-50</v>
      </c>
    </row>
    <row r="259" spans="5:86" x14ac:dyDescent="0.25">
      <c r="E259" s="174">
        <v>43</v>
      </c>
      <c r="F259" s="221">
        <f t="shared" si="477"/>
        <v>8.6000000000000007E-2</v>
      </c>
      <c r="G259" s="221"/>
      <c r="H259" s="221">
        <f t="shared" si="443"/>
        <v>1.3760000000000001</v>
      </c>
      <c r="I259" s="551">
        <f t="shared" si="444"/>
        <v>48</v>
      </c>
      <c r="J259" s="451">
        <f t="shared" si="445"/>
        <v>19.584</v>
      </c>
      <c r="K259" s="451">
        <f t="shared" si="446"/>
        <v>67.584000000000003</v>
      </c>
      <c r="L259" s="451"/>
      <c r="M259" s="221">
        <f t="shared" si="447"/>
        <v>0.28977272727272724</v>
      </c>
      <c r="N259" s="176">
        <f t="shared" si="448"/>
        <v>9.6890727272727268</v>
      </c>
      <c r="O259" s="176">
        <f t="shared" si="363"/>
        <v>1.3760000000000001</v>
      </c>
      <c r="P259" s="221">
        <f t="shared" si="449"/>
        <v>0.60556704545454543</v>
      </c>
      <c r="Q259" s="221">
        <f t="shared" si="450"/>
        <v>16</v>
      </c>
      <c r="R259" s="221"/>
      <c r="S259" s="176">
        <f t="shared" si="451"/>
        <v>336.78215673208683</v>
      </c>
      <c r="T259" s="176">
        <f t="shared" si="452"/>
        <v>16</v>
      </c>
      <c r="U259" s="221">
        <f t="shared" si="453"/>
        <v>0.21984023238925202</v>
      </c>
      <c r="V259" s="221">
        <f t="shared" si="454"/>
        <v>0.13740014524328251</v>
      </c>
      <c r="W259" s="221">
        <f t="shared" si="455"/>
        <v>0.33676506187079047</v>
      </c>
      <c r="X259" s="201">
        <f t="shared" si="456"/>
        <v>350</v>
      </c>
      <c r="Y259" s="451">
        <f t="shared" si="418"/>
        <v>350</v>
      </c>
      <c r="AA259" s="221">
        <f t="shared" si="457"/>
        <v>1.3246753246753247</v>
      </c>
      <c r="AB259" s="177">
        <f t="shared" si="458"/>
        <v>2.029220779220779</v>
      </c>
      <c r="AC259" s="177">
        <f t="shared" si="459"/>
        <v>0.5644923258559621</v>
      </c>
      <c r="AD259" s="177"/>
      <c r="AE259" s="177">
        <f t="shared" si="460"/>
        <v>0.4595588235294118</v>
      </c>
      <c r="AF259" s="555">
        <f t="shared" si="461"/>
        <v>1039.6444444444446</v>
      </c>
      <c r="AG259" s="538">
        <f t="shared" si="462"/>
        <v>2.8952205882352939E-2</v>
      </c>
      <c r="AI259" s="177">
        <f t="shared" si="463"/>
        <v>0.51704655772680941</v>
      </c>
      <c r="AJ259" s="177">
        <f t="shared" si="464"/>
        <v>0.51704655772680941</v>
      </c>
      <c r="AK259" s="177">
        <f t="shared" si="465"/>
        <v>1.3446977051512063</v>
      </c>
      <c r="AM259" s="555">
        <f t="shared" si="466"/>
        <v>86</v>
      </c>
      <c r="AN259" s="469">
        <f t="shared" si="467"/>
        <v>350</v>
      </c>
      <c r="AP259">
        <f t="shared" si="468"/>
        <v>86</v>
      </c>
      <c r="AQ259">
        <f t="shared" si="469"/>
        <v>350</v>
      </c>
      <c r="AS259" s="5">
        <f t="shared" si="364"/>
        <v>2.8571428571428572</v>
      </c>
      <c r="AT259" s="5">
        <f t="shared" si="470"/>
        <v>0.32315409857925587</v>
      </c>
      <c r="AU259" s="5">
        <f t="shared" si="440"/>
        <v>2.5339887585636012</v>
      </c>
      <c r="AV259" s="5"/>
      <c r="AW259" s="177">
        <f t="shared" si="441"/>
        <v>0.11310393450273955</v>
      </c>
      <c r="AX259" s="177"/>
      <c r="BA259" s="469">
        <f t="shared" si="471"/>
        <v>5.4827721650935404</v>
      </c>
      <c r="BB259" s="469">
        <f t="shared" si="472"/>
        <v>0.41679520166666673</v>
      </c>
      <c r="BC259" s="5">
        <f t="shared" si="442"/>
        <v>5.0445146582516136E-2</v>
      </c>
      <c r="BD259" s="469">
        <f t="shared" si="473"/>
        <v>0</v>
      </c>
      <c r="BQ259" s="538">
        <f t="shared" si="474"/>
        <v>3.2852000000000006E-2</v>
      </c>
      <c r="CG259" s="571">
        <f t="shared" si="475"/>
        <v>-50</v>
      </c>
      <c r="CH259">
        <f t="shared" si="476"/>
        <v>-50</v>
      </c>
    </row>
    <row r="260" spans="5:86" x14ac:dyDescent="0.25">
      <c r="E260" s="174">
        <v>44</v>
      </c>
      <c r="F260" s="221">
        <f t="shared" si="477"/>
        <v>8.8000000000000009E-2</v>
      </c>
      <c r="G260" s="221"/>
      <c r="H260" s="221">
        <f t="shared" si="443"/>
        <v>1.4080000000000001</v>
      </c>
      <c r="I260" s="551">
        <f t="shared" si="444"/>
        <v>48</v>
      </c>
      <c r="J260" s="451">
        <f t="shared" si="445"/>
        <v>19.584</v>
      </c>
      <c r="K260" s="451">
        <f t="shared" si="446"/>
        <v>67.584000000000003</v>
      </c>
      <c r="L260" s="451"/>
      <c r="M260" s="221">
        <f t="shared" si="447"/>
        <v>0.28977272727272724</v>
      </c>
      <c r="N260" s="176">
        <f t="shared" si="448"/>
        <v>9.6890727272727268</v>
      </c>
      <c r="O260" s="176">
        <f t="shared" si="363"/>
        <v>1.4080000000000001</v>
      </c>
      <c r="P260" s="221">
        <f t="shared" si="449"/>
        <v>0.60556704545454543</v>
      </c>
      <c r="Q260" s="221">
        <f t="shared" si="450"/>
        <v>16</v>
      </c>
      <c r="R260" s="221"/>
      <c r="S260" s="176">
        <f t="shared" si="451"/>
        <v>328.22077833788995</v>
      </c>
      <c r="T260" s="176">
        <f t="shared" si="452"/>
        <v>16</v>
      </c>
      <c r="U260" s="221">
        <f t="shared" si="453"/>
        <v>0.22495279593318812</v>
      </c>
      <c r="V260" s="221">
        <f t="shared" si="454"/>
        <v>0.14059549745824257</v>
      </c>
      <c r="W260" s="221">
        <f t="shared" si="455"/>
        <v>0.3445968074956926</v>
      </c>
      <c r="X260" s="201">
        <f t="shared" si="456"/>
        <v>350</v>
      </c>
      <c r="Y260" s="451">
        <f t="shared" si="418"/>
        <v>350</v>
      </c>
      <c r="AA260" s="221">
        <f t="shared" si="457"/>
        <v>1.3246753246753247</v>
      </c>
      <c r="AB260" s="177">
        <f t="shared" si="458"/>
        <v>2.029220779220779</v>
      </c>
      <c r="AC260" s="177">
        <f t="shared" si="459"/>
        <v>0.5644923258559621</v>
      </c>
      <c r="AD260" s="177"/>
      <c r="AE260" s="177">
        <f t="shared" si="460"/>
        <v>0.4595588235294118</v>
      </c>
      <c r="AF260" s="555">
        <f t="shared" si="461"/>
        <v>1063.8222222222225</v>
      </c>
      <c r="AG260" s="538">
        <f t="shared" si="462"/>
        <v>2.8952205882352939E-2</v>
      </c>
      <c r="AI260" s="177">
        <f t="shared" si="463"/>
        <v>0.52302417316438232</v>
      </c>
      <c r="AJ260" s="177">
        <f t="shared" si="464"/>
        <v>0.52302417316438232</v>
      </c>
      <c r="AK260" s="177">
        <f t="shared" si="465"/>
        <v>1.3486827821095881</v>
      </c>
      <c r="AM260" s="555">
        <f t="shared" si="466"/>
        <v>88.000000000000014</v>
      </c>
      <c r="AN260" s="469">
        <f t="shared" si="467"/>
        <v>350</v>
      </c>
      <c r="AP260">
        <f t="shared" si="468"/>
        <v>88.000000000000014</v>
      </c>
      <c r="AQ260">
        <f t="shared" si="469"/>
        <v>350</v>
      </c>
      <c r="AS260" s="5">
        <f t="shared" si="364"/>
        <v>2.8571428571428572</v>
      </c>
      <c r="AT260" s="5">
        <f t="shared" si="470"/>
        <v>0.32689010822773895</v>
      </c>
      <c r="AU260" s="5">
        <f t="shared" si="440"/>
        <v>2.5302527489151183</v>
      </c>
      <c r="AV260" s="5"/>
      <c r="AW260" s="177">
        <f t="shared" si="441"/>
        <v>0.11441153787970863</v>
      </c>
      <c r="AX260" s="177"/>
      <c r="BA260" s="469">
        <f t="shared" si="471"/>
        <v>5.4827721650935404</v>
      </c>
      <c r="BB260" s="469">
        <f t="shared" si="472"/>
        <v>0.43026690666666673</v>
      </c>
      <c r="BC260" s="5">
        <f t="shared" si="442"/>
        <v>5.154218562604871E-2</v>
      </c>
      <c r="BD260" s="469">
        <f t="shared" si="473"/>
        <v>0</v>
      </c>
      <c r="BQ260" s="538">
        <f t="shared" si="474"/>
        <v>3.3616E-2</v>
      </c>
      <c r="CG260" s="571">
        <f t="shared" si="475"/>
        <v>-50</v>
      </c>
      <c r="CH260">
        <f t="shared" si="476"/>
        <v>-50</v>
      </c>
    </row>
    <row r="261" spans="5:86" x14ac:dyDescent="0.25">
      <c r="E261" s="174">
        <v>45</v>
      </c>
      <c r="F261" s="221">
        <f t="shared" si="477"/>
        <v>9.0000000000000011E-2</v>
      </c>
      <c r="G261" s="221"/>
      <c r="H261" s="221">
        <f t="shared" si="443"/>
        <v>1.4400000000000002</v>
      </c>
      <c r="I261" s="551">
        <f t="shared" si="444"/>
        <v>48</v>
      </c>
      <c r="J261" s="451">
        <f t="shared" si="445"/>
        <v>19.584</v>
      </c>
      <c r="K261" s="451">
        <f t="shared" si="446"/>
        <v>67.584000000000003</v>
      </c>
      <c r="L261" s="451"/>
      <c r="M261" s="221">
        <f t="shared" si="447"/>
        <v>0.28977272727272724</v>
      </c>
      <c r="N261" s="176">
        <f t="shared" si="448"/>
        <v>9.6890727272727268</v>
      </c>
      <c r="O261" s="176">
        <f t="shared" si="363"/>
        <v>1.4400000000000002</v>
      </c>
      <c r="P261" s="221">
        <f t="shared" si="449"/>
        <v>0.60556704545454543</v>
      </c>
      <c r="Q261" s="221">
        <f t="shared" si="450"/>
        <v>16</v>
      </c>
      <c r="R261" s="221"/>
      <c r="S261" s="176">
        <f t="shared" si="451"/>
        <v>320.03995505617343</v>
      </c>
      <c r="T261" s="176">
        <f t="shared" si="452"/>
        <v>16</v>
      </c>
      <c r="U261" s="221">
        <f t="shared" si="453"/>
        <v>0.23006535947712423</v>
      </c>
      <c r="V261" s="221">
        <f t="shared" si="454"/>
        <v>0.14379084967320266</v>
      </c>
      <c r="W261" s="221">
        <f t="shared" si="455"/>
        <v>0.35242855312059473</v>
      </c>
      <c r="X261" s="201">
        <f t="shared" si="456"/>
        <v>350</v>
      </c>
      <c r="Y261" s="451">
        <f t="shared" si="418"/>
        <v>350</v>
      </c>
      <c r="AA261" s="221">
        <f t="shared" si="457"/>
        <v>1.3246753246753247</v>
      </c>
      <c r="AB261" s="177">
        <f t="shared" si="458"/>
        <v>2.029220779220779</v>
      </c>
      <c r="AC261" s="177">
        <f t="shared" si="459"/>
        <v>0.5644923258559621</v>
      </c>
      <c r="AD261" s="177"/>
      <c r="AE261" s="177">
        <f t="shared" si="460"/>
        <v>0.4595588235294118</v>
      </c>
      <c r="AF261" s="555">
        <f t="shared" si="461"/>
        <v>1088.0000000000002</v>
      </c>
      <c r="AG261" s="538">
        <f t="shared" si="462"/>
        <v>2.8952205882352939E-2</v>
      </c>
      <c r="AI261" s="177">
        <f t="shared" si="463"/>
        <v>0.52893423841856613</v>
      </c>
      <c r="AJ261" s="177">
        <f t="shared" si="464"/>
        <v>0.52893423841856613</v>
      </c>
      <c r="AK261" s="177">
        <f t="shared" si="465"/>
        <v>1.3526228256123773</v>
      </c>
      <c r="AM261" s="555">
        <f t="shared" si="466"/>
        <v>90.000000000000014</v>
      </c>
      <c r="AN261" s="469">
        <f t="shared" si="467"/>
        <v>350</v>
      </c>
      <c r="AP261">
        <f t="shared" si="468"/>
        <v>90.000000000000014</v>
      </c>
      <c r="AQ261">
        <f t="shared" si="469"/>
        <v>350</v>
      </c>
      <c r="AS261" s="5">
        <f t="shared" si="364"/>
        <v>2.8571428571428572</v>
      </c>
      <c r="AT261" s="5">
        <f t="shared" si="470"/>
        <v>0.33058389901160384</v>
      </c>
      <c r="AU261" s="5">
        <f t="shared" si="440"/>
        <v>2.5265589581312535</v>
      </c>
      <c r="AV261" s="5"/>
      <c r="AW261" s="177">
        <f t="shared" si="441"/>
        <v>0.11570436465406134</v>
      </c>
      <c r="AX261" s="177"/>
      <c r="BA261" s="469">
        <f t="shared" si="471"/>
        <v>5.4827721650935404</v>
      </c>
      <c r="BB261" s="469">
        <f t="shared" si="472"/>
        <v>0.44391037500000008</v>
      </c>
      <c r="BC261" s="5">
        <f t="shared" si="442"/>
        <v>5.2636644961067784E-2</v>
      </c>
      <c r="BD261" s="469">
        <f t="shared" si="473"/>
        <v>0</v>
      </c>
      <c r="BQ261" s="538">
        <f t="shared" si="474"/>
        <v>3.4380000000000001E-2</v>
      </c>
      <c r="CG261" s="571">
        <f t="shared" si="475"/>
        <v>-50</v>
      </c>
      <c r="CH261">
        <f t="shared" si="476"/>
        <v>-50</v>
      </c>
    </row>
    <row r="262" spans="5:86" x14ac:dyDescent="0.25">
      <c r="E262" s="174">
        <v>46</v>
      </c>
      <c r="F262" s="221">
        <f t="shared" si="477"/>
        <v>9.2000000000000012E-2</v>
      </c>
      <c r="G262" s="221"/>
      <c r="H262" s="221">
        <f t="shared" si="443"/>
        <v>1.4720000000000002</v>
      </c>
      <c r="I262" s="551">
        <f t="shared" si="444"/>
        <v>48</v>
      </c>
      <c r="J262" s="451">
        <f t="shared" si="445"/>
        <v>19.584</v>
      </c>
      <c r="K262" s="451">
        <f t="shared" si="446"/>
        <v>67.584000000000003</v>
      </c>
      <c r="L262" s="451"/>
      <c r="M262" s="221">
        <f t="shared" si="447"/>
        <v>0.28977272727272724</v>
      </c>
      <c r="N262" s="176">
        <f t="shared" si="448"/>
        <v>9.6890727272727268</v>
      </c>
      <c r="O262" s="176">
        <f t="shared" ref="O262:O316" si="478">T262*F262</f>
        <v>1.4720000000000002</v>
      </c>
      <c r="P262" s="221">
        <f t="shared" si="449"/>
        <v>0.60556704545454543</v>
      </c>
      <c r="Q262" s="221">
        <f t="shared" si="450"/>
        <v>16</v>
      </c>
      <c r="R262" s="221"/>
      <c r="S262" s="176">
        <f t="shared" si="451"/>
        <v>312.2148684737075</v>
      </c>
      <c r="T262" s="176">
        <f t="shared" si="452"/>
        <v>16</v>
      </c>
      <c r="U262" s="221">
        <f t="shared" si="453"/>
        <v>0.23517792302106033</v>
      </c>
      <c r="V262" s="221">
        <f t="shared" si="454"/>
        <v>0.14698620188816272</v>
      </c>
      <c r="W262" s="221">
        <f t="shared" si="455"/>
        <v>0.36026029874549687</v>
      </c>
      <c r="X262" s="201">
        <f t="shared" si="456"/>
        <v>350</v>
      </c>
      <c r="Y262" s="451">
        <f t="shared" si="418"/>
        <v>350</v>
      </c>
      <c r="AA262" s="221">
        <f t="shared" si="457"/>
        <v>1.3246753246753247</v>
      </c>
      <c r="AB262" s="177">
        <f t="shared" si="458"/>
        <v>2.029220779220779</v>
      </c>
      <c r="AC262" s="177">
        <f t="shared" si="459"/>
        <v>0.5644923258559621</v>
      </c>
      <c r="AD262" s="177"/>
      <c r="AE262" s="177">
        <f t="shared" si="460"/>
        <v>0.4595588235294118</v>
      </c>
      <c r="AF262" s="555">
        <f t="shared" si="461"/>
        <v>1112.1777777777779</v>
      </c>
      <c r="AG262" s="538">
        <f t="shared" si="462"/>
        <v>2.8952205882352939E-2</v>
      </c>
      <c r="AI262" s="177">
        <f t="shared" si="463"/>
        <v>0.53477899306963383</v>
      </c>
      <c r="AJ262" s="177">
        <f t="shared" si="464"/>
        <v>0.53477899306963383</v>
      </c>
      <c r="AK262" s="177">
        <f t="shared" si="465"/>
        <v>1.3565193287130892</v>
      </c>
      <c r="AM262" s="555">
        <f t="shared" si="466"/>
        <v>92.000000000000014</v>
      </c>
      <c r="AN262" s="469">
        <f t="shared" si="467"/>
        <v>350</v>
      </c>
      <c r="AP262">
        <f t="shared" si="468"/>
        <v>92.000000000000014</v>
      </c>
      <c r="AQ262">
        <f t="shared" si="469"/>
        <v>350</v>
      </c>
      <c r="AS262" s="5">
        <f t="shared" si="364"/>
        <v>2.8571428571428572</v>
      </c>
      <c r="AT262" s="5">
        <f t="shared" si="470"/>
        <v>0.33423687066852115</v>
      </c>
      <c r="AU262" s="5">
        <f t="shared" si="440"/>
        <v>2.5229059864743362</v>
      </c>
      <c r="AV262" s="5"/>
      <c r="AW262" s="177">
        <f t="shared" si="441"/>
        <v>0.1169829047339824</v>
      </c>
      <c r="AX262" s="177"/>
      <c r="BA262" s="469">
        <f t="shared" si="471"/>
        <v>5.4827721650935404</v>
      </c>
      <c r="BB262" s="469">
        <f t="shared" si="472"/>
        <v>0.45772560666666678</v>
      </c>
      <c r="BC262" s="5">
        <f t="shared" si="442"/>
        <v>5.372855341565716E-2</v>
      </c>
      <c r="BD262" s="469">
        <f t="shared" si="473"/>
        <v>0</v>
      </c>
      <c r="BQ262" s="538">
        <f t="shared" si="474"/>
        <v>3.5144000000000002E-2</v>
      </c>
      <c r="CG262" s="571">
        <f t="shared" si="475"/>
        <v>-50</v>
      </c>
      <c r="CH262">
        <f t="shared" si="476"/>
        <v>-50</v>
      </c>
    </row>
    <row r="263" spans="5:86" x14ac:dyDescent="0.25">
      <c r="E263" s="174">
        <v>47</v>
      </c>
      <c r="F263" s="221">
        <f t="shared" si="477"/>
        <v>9.4E-2</v>
      </c>
      <c r="G263" s="221"/>
      <c r="H263" s="221">
        <f t="shared" si="443"/>
        <v>1.504</v>
      </c>
      <c r="I263" s="551">
        <f t="shared" si="444"/>
        <v>48</v>
      </c>
      <c r="J263" s="451">
        <f t="shared" si="445"/>
        <v>19.584</v>
      </c>
      <c r="K263" s="451">
        <f t="shared" si="446"/>
        <v>67.584000000000003</v>
      </c>
      <c r="L263" s="451"/>
      <c r="M263" s="221">
        <f t="shared" si="447"/>
        <v>0.28977272727272724</v>
      </c>
      <c r="N263" s="176">
        <f t="shared" si="448"/>
        <v>9.6890727272727268</v>
      </c>
      <c r="O263" s="176">
        <f t="shared" si="478"/>
        <v>1.504</v>
      </c>
      <c r="P263" s="221">
        <f t="shared" si="449"/>
        <v>0.60556704545454543</v>
      </c>
      <c r="Q263" s="221">
        <f t="shared" si="450"/>
        <v>16</v>
      </c>
      <c r="R263" s="221"/>
      <c r="S263" s="176">
        <f t="shared" si="451"/>
        <v>304.72281238689732</v>
      </c>
      <c r="T263" s="176">
        <f t="shared" si="452"/>
        <v>16</v>
      </c>
      <c r="U263" s="221">
        <f t="shared" si="453"/>
        <v>0.24029048656499638</v>
      </c>
      <c r="V263" s="221">
        <f t="shared" si="454"/>
        <v>0.15018155410312276</v>
      </c>
      <c r="W263" s="221">
        <f t="shared" si="455"/>
        <v>0.36809204437039889</v>
      </c>
      <c r="X263" s="201">
        <f t="shared" si="456"/>
        <v>350</v>
      </c>
      <c r="Y263" s="451">
        <f t="shared" si="418"/>
        <v>350</v>
      </c>
      <c r="AA263" s="221">
        <f t="shared" si="457"/>
        <v>1.3246753246753247</v>
      </c>
      <c r="AB263" s="177">
        <f t="shared" si="458"/>
        <v>2.029220779220779</v>
      </c>
      <c r="AC263" s="177">
        <f t="shared" si="459"/>
        <v>0.5644923258559621</v>
      </c>
      <c r="AD263" s="177"/>
      <c r="AE263" s="177">
        <f t="shared" si="460"/>
        <v>0.4595588235294118</v>
      </c>
      <c r="AF263" s="555">
        <f t="shared" si="461"/>
        <v>1136.3555555555558</v>
      </c>
      <c r="AG263" s="538">
        <f t="shared" si="462"/>
        <v>2.8952205882352939E-2</v>
      </c>
      <c r="AI263" s="177">
        <f t="shared" si="463"/>
        <v>0.54056055561399807</v>
      </c>
      <c r="AJ263" s="177">
        <f t="shared" si="464"/>
        <v>0.54056055561399807</v>
      </c>
      <c r="AK263" s="177">
        <f t="shared" si="465"/>
        <v>1.3603737037426653</v>
      </c>
      <c r="AM263" s="555">
        <f t="shared" si="466"/>
        <v>94</v>
      </c>
      <c r="AN263" s="469">
        <f t="shared" si="467"/>
        <v>350</v>
      </c>
      <c r="AP263">
        <f t="shared" si="468"/>
        <v>94</v>
      </c>
      <c r="AQ263">
        <f t="shared" si="469"/>
        <v>350</v>
      </c>
      <c r="AS263" s="5">
        <f t="shared" ref="AS263:AS316" si="479">1/AN263*1000</f>
        <v>2.8571428571428572</v>
      </c>
      <c r="AT263" s="5">
        <f t="shared" si="470"/>
        <v>0.33785034725874885</v>
      </c>
      <c r="AU263" s="5">
        <f t="shared" si="440"/>
        <v>2.5192925098841084</v>
      </c>
      <c r="AV263" s="5"/>
      <c r="AW263" s="177">
        <f t="shared" si="441"/>
        <v>0.11824762154056209</v>
      </c>
      <c r="AX263" s="177"/>
      <c r="BA263" s="469">
        <f t="shared" si="471"/>
        <v>5.4827721650935404</v>
      </c>
      <c r="BB263" s="469">
        <f t="shared" si="472"/>
        <v>0.47171260166666673</v>
      </c>
      <c r="BC263" s="5">
        <f t="shared" si="442"/>
        <v>5.4817938872478274E-2</v>
      </c>
      <c r="BD263" s="469">
        <f t="shared" si="473"/>
        <v>0</v>
      </c>
      <c r="BQ263" s="538">
        <f t="shared" si="474"/>
        <v>3.5908000000000002E-2</v>
      </c>
      <c r="CG263" s="571">
        <f t="shared" si="475"/>
        <v>-50</v>
      </c>
      <c r="CH263">
        <f t="shared" si="476"/>
        <v>-50</v>
      </c>
    </row>
    <row r="264" spans="5:86" x14ac:dyDescent="0.25">
      <c r="E264" s="174">
        <v>48</v>
      </c>
      <c r="F264" s="221">
        <f t="shared" si="477"/>
        <v>9.6000000000000002E-2</v>
      </c>
      <c r="G264" s="221"/>
      <c r="H264" s="221">
        <f t="shared" si="443"/>
        <v>1.536</v>
      </c>
      <c r="I264" s="551">
        <f t="shared" si="444"/>
        <v>48</v>
      </c>
      <c r="J264" s="451">
        <f t="shared" si="445"/>
        <v>19.584</v>
      </c>
      <c r="K264" s="451">
        <f t="shared" si="446"/>
        <v>67.584000000000003</v>
      </c>
      <c r="L264" s="451"/>
      <c r="M264" s="221">
        <f t="shared" si="447"/>
        <v>0.28977272727272724</v>
      </c>
      <c r="N264" s="176">
        <f t="shared" si="448"/>
        <v>9.6890727272727268</v>
      </c>
      <c r="O264" s="176">
        <f t="shared" si="478"/>
        <v>1.536</v>
      </c>
      <c r="P264" s="221">
        <f t="shared" si="449"/>
        <v>0.60556704545454543</v>
      </c>
      <c r="Q264" s="221">
        <f t="shared" si="450"/>
        <v>16</v>
      </c>
      <c r="R264" s="221"/>
      <c r="S264" s="176">
        <f t="shared" si="451"/>
        <v>297.542972780002</v>
      </c>
      <c r="T264" s="176">
        <f t="shared" si="452"/>
        <v>16</v>
      </c>
      <c r="U264" s="221">
        <f t="shared" si="453"/>
        <v>0.24540305010893249</v>
      </c>
      <c r="V264" s="221">
        <f t="shared" si="454"/>
        <v>0.15337690631808279</v>
      </c>
      <c r="W264" s="221">
        <f t="shared" si="455"/>
        <v>0.37592378999530102</v>
      </c>
      <c r="X264" s="201">
        <f t="shared" si="456"/>
        <v>350</v>
      </c>
      <c r="Y264" s="451">
        <f t="shared" si="418"/>
        <v>350</v>
      </c>
      <c r="AA264" s="221">
        <f t="shared" si="457"/>
        <v>1.3246753246753247</v>
      </c>
      <c r="AB264" s="177">
        <f t="shared" si="458"/>
        <v>2.029220779220779</v>
      </c>
      <c r="AC264" s="177">
        <f t="shared" si="459"/>
        <v>0.5644923258559621</v>
      </c>
      <c r="AD264" s="177"/>
      <c r="AE264" s="177">
        <f t="shared" si="460"/>
        <v>0.4595588235294118</v>
      </c>
      <c r="AF264" s="555">
        <f t="shared" si="461"/>
        <v>1160.5333333333335</v>
      </c>
      <c r="AG264" s="538">
        <f t="shared" si="462"/>
        <v>2.8952205882352939E-2</v>
      </c>
      <c r="AI264" s="177">
        <f t="shared" si="463"/>
        <v>0.54628093243573594</v>
      </c>
      <c r="AJ264" s="177">
        <f t="shared" si="464"/>
        <v>0.54628093243573594</v>
      </c>
      <c r="AK264" s="177">
        <f t="shared" si="465"/>
        <v>1.3641872882904906</v>
      </c>
      <c r="AM264" s="555">
        <f t="shared" si="466"/>
        <v>96</v>
      </c>
      <c r="AN264" s="469">
        <f t="shared" si="467"/>
        <v>350</v>
      </c>
      <c r="AP264">
        <f t="shared" si="468"/>
        <v>96</v>
      </c>
      <c r="AQ264">
        <f t="shared" si="469"/>
        <v>350</v>
      </c>
      <c r="AS264" s="5">
        <f t="shared" si="479"/>
        <v>2.8571428571428572</v>
      </c>
      <c r="AT264" s="5">
        <f t="shared" si="470"/>
        <v>0.34142558277233492</v>
      </c>
      <c r="AU264" s="5">
        <f t="shared" si="440"/>
        <v>2.5157172743705223</v>
      </c>
      <c r="AV264" s="5"/>
      <c r="AW264" s="177">
        <f t="shared" si="441"/>
        <v>0.11949895397031722</v>
      </c>
      <c r="AX264" s="177"/>
      <c r="BA264" s="469">
        <f t="shared" si="471"/>
        <v>5.4827721650935404</v>
      </c>
      <c r="BB264" s="469">
        <f t="shared" si="472"/>
        <v>0.48587136000000009</v>
      </c>
      <c r="BC264" s="5">
        <f t="shared" si="442"/>
        <v>5.5904828319344943E-2</v>
      </c>
      <c r="BD264" s="469">
        <f t="shared" si="473"/>
        <v>0</v>
      </c>
      <c r="BQ264" s="538">
        <f t="shared" si="474"/>
        <v>3.6672000000000003E-2</v>
      </c>
      <c r="CG264" s="571">
        <f t="shared" si="475"/>
        <v>-50</v>
      </c>
      <c r="CH264">
        <f t="shared" si="476"/>
        <v>-50</v>
      </c>
    </row>
    <row r="265" spans="5:86" x14ac:dyDescent="0.25">
      <c r="E265" s="174">
        <v>49</v>
      </c>
      <c r="F265" s="221">
        <f t="shared" si="477"/>
        <v>9.8000000000000004E-2</v>
      </c>
      <c r="G265" s="221"/>
      <c r="H265" s="221">
        <f t="shared" si="443"/>
        <v>1.5680000000000001</v>
      </c>
      <c r="I265" s="551">
        <f t="shared" si="444"/>
        <v>48</v>
      </c>
      <c r="J265" s="451">
        <f t="shared" si="445"/>
        <v>19.584</v>
      </c>
      <c r="K265" s="451">
        <f t="shared" si="446"/>
        <v>67.584000000000003</v>
      </c>
      <c r="L265" s="451"/>
      <c r="M265" s="221">
        <f t="shared" si="447"/>
        <v>0.28977272727272724</v>
      </c>
      <c r="N265" s="176">
        <f t="shared" si="448"/>
        <v>9.6890727272727268</v>
      </c>
      <c r="O265" s="176">
        <f t="shared" si="478"/>
        <v>1.5680000000000001</v>
      </c>
      <c r="P265" s="221">
        <f t="shared" si="449"/>
        <v>0.60556704545454543</v>
      </c>
      <c r="Q265" s="221">
        <f t="shared" si="450"/>
        <v>16</v>
      </c>
      <c r="R265" s="221"/>
      <c r="S265" s="176">
        <f t="shared" si="451"/>
        <v>290.65623474479736</v>
      </c>
      <c r="T265" s="176">
        <f t="shared" si="452"/>
        <v>16</v>
      </c>
      <c r="U265" s="221">
        <f t="shared" si="453"/>
        <v>0.25051561365286856</v>
      </c>
      <c r="V265" s="221">
        <f t="shared" si="454"/>
        <v>0.15657225853304285</v>
      </c>
      <c r="W265" s="221">
        <f t="shared" si="455"/>
        <v>0.38375553562020309</v>
      </c>
      <c r="X265" s="201">
        <f t="shared" si="456"/>
        <v>350</v>
      </c>
      <c r="Y265" s="451">
        <f t="shared" si="418"/>
        <v>350</v>
      </c>
      <c r="AA265" s="221">
        <f t="shared" si="457"/>
        <v>1.3246753246753247</v>
      </c>
      <c r="AB265" s="177">
        <f t="shared" si="458"/>
        <v>2.029220779220779</v>
      </c>
      <c r="AC265" s="177">
        <f t="shared" si="459"/>
        <v>0.5644923258559621</v>
      </c>
      <c r="AD265" s="177"/>
      <c r="AE265" s="177">
        <f t="shared" si="460"/>
        <v>0.4595588235294118</v>
      </c>
      <c r="AF265" s="555">
        <f t="shared" si="461"/>
        <v>1184.7111111111112</v>
      </c>
      <c r="AG265" s="538">
        <f t="shared" si="462"/>
        <v>2.8952205882352939E-2</v>
      </c>
      <c r="AI265" s="177">
        <f t="shared" si="463"/>
        <v>0.55194202594113084</v>
      </c>
      <c r="AJ265" s="177">
        <f t="shared" si="464"/>
        <v>0.55194202594113084</v>
      </c>
      <c r="AK265" s="177">
        <f t="shared" si="465"/>
        <v>1.3679613506274206</v>
      </c>
      <c r="AM265" s="555">
        <f t="shared" si="466"/>
        <v>98</v>
      </c>
      <c r="AN265" s="469">
        <f t="shared" si="467"/>
        <v>350</v>
      </c>
      <c r="AP265">
        <f t="shared" si="468"/>
        <v>98</v>
      </c>
      <c r="AQ265">
        <f t="shared" si="469"/>
        <v>350</v>
      </c>
      <c r="AS265" s="5">
        <f t="shared" si="479"/>
        <v>2.8571428571428572</v>
      </c>
      <c r="AT265" s="5">
        <f t="shared" si="470"/>
        <v>0.34496376621320679</v>
      </c>
      <c r="AU265" s="5">
        <f t="shared" si="440"/>
        <v>2.5121790909296502</v>
      </c>
      <c r="AV265" s="5"/>
      <c r="AW265" s="177">
        <f t="shared" si="441"/>
        <v>0.12073731817462237</v>
      </c>
      <c r="AX265" s="177"/>
      <c r="BA265" s="469">
        <f t="shared" si="471"/>
        <v>5.4827721650935404</v>
      </c>
      <c r="BB265" s="469">
        <f t="shared" si="472"/>
        <v>0.50020188166666679</v>
      </c>
      <c r="BC265" s="5">
        <f t="shared" si="442"/>
        <v>5.6989247896089286E-2</v>
      </c>
      <c r="BD265" s="469">
        <f t="shared" si="473"/>
        <v>0</v>
      </c>
      <c r="BQ265" s="538">
        <f t="shared" si="474"/>
        <v>3.7436000000000004E-2</v>
      </c>
      <c r="CG265" s="571">
        <f t="shared" si="475"/>
        <v>-50</v>
      </c>
      <c r="CH265">
        <f t="shared" si="476"/>
        <v>-50</v>
      </c>
    </row>
    <row r="266" spans="5:86" x14ac:dyDescent="0.25">
      <c r="E266" s="174">
        <v>50</v>
      </c>
      <c r="F266" s="221">
        <f t="shared" si="477"/>
        <v>0.1</v>
      </c>
      <c r="G266" s="221"/>
      <c r="H266" s="221">
        <f t="shared" si="443"/>
        <v>1.6</v>
      </c>
      <c r="I266" s="551">
        <f t="shared" si="444"/>
        <v>48</v>
      </c>
      <c r="J266" s="451">
        <f t="shared" si="445"/>
        <v>19.584</v>
      </c>
      <c r="K266" s="451">
        <f t="shared" si="446"/>
        <v>67.584000000000003</v>
      </c>
      <c r="L266" s="451"/>
      <c r="M266" s="221">
        <f t="shared" si="447"/>
        <v>0.28977272727272724</v>
      </c>
      <c r="N266" s="176">
        <f t="shared" si="448"/>
        <v>9.6890727272727268</v>
      </c>
      <c r="O266" s="176">
        <f t="shared" si="478"/>
        <v>1.6</v>
      </c>
      <c r="P266" s="221">
        <f t="shared" si="449"/>
        <v>0.60556704545454543</v>
      </c>
      <c r="Q266" s="221">
        <f t="shared" si="450"/>
        <v>16</v>
      </c>
      <c r="R266" s="221"/>
      <c r="S266" s="176">
        <f t="shared" si="451"/>
        <v>284.0450125698809</v>
      </c>
      <c r="T266" s="176">
        <f t="shared" si="452"/>
        <v>16</v>
      </c>
      <c r="U266" s="221">
        <f t="shared" si="453"/>
        <v>0.2556281771968047</v>
      </c>
      <c r="V266" s="221">
        <f t="shared" si="454"/>
        <v>0.15976761074800294</v>
      </c>
      <c r="W266" s="221">
        <f t="shared" si="455"/>
        <v>0.39158728124510522</v>
      </c>
      <c r="X266" s="201">
        <f t="shared" si="456"/>
        <v>350</v>
      </c>
      <c r="Y266" s="451">
        <f t="shared" si="418"/>
        <v>350</v>
      </c>
      <c r="AA266" s="221">
        <f t="shared" si="457"/>
        <v>1.3246753246753247</v>
      </c>
      <c r="AB266" s="177">
        <f t="shared" si="458"/>
        <v>2.029220779220779</v>
      </c>
      <c r="AC266" s="177">
        <f t="shared" si="459"/>
        <v>0.5644923258559621</v>
      </c>
      <c r="AD266" s="177"/>
      <c r="AE266" s="177">
        <f t="shared" si="460"/>
        <v>0.4595588235294118</v>
      </c>
      <c r="AF266" s="555">
        <f t="shared" si="461"/>
        <v>1208.8888888888889</v>
      </c>
      <c r="AG266" s="538">
        <f t="shared" si="462"/>
        <v>2.8952205882352939E-2</v>
      </c>
      <c r="AI266" s="177">
        <f t="shared" si="463"/>
        <v>0.55754564194973566</v>
      </c>
      <c r="AJ266" s="177">
        <f t="shared" si="464"/>
        <v>0.55754564194973566</v>
      </c>
      <c r="AK266" s="177">
        <f t="shared" si="465"/>
        <v>1.371697094633157</v>
      </c>
      <c r="AM266" s="555">
        <f t="shared" si="466"/>
        <v>100</v>
      </c>
      <c r="AN266" s="469">
        <f t="shared" si="467"/>
        <v>350</v>
      </c>
      <c r="AP266">
        <f t="shared" si="468"/>
        <v>100</v>
      </c>
      <c r="AQ266">
        <f t="shared" si="469"/>
        <v>350</v>
      </c>
      <c r="AS266" s="5">
        <f t="shared" si="479"/>
        <v>2.8571428571428572</v>
      </c>
      <c r="AT266" s="5">
        <f t="shared" si="470"/>
        <v>0.3484660262185848</v>
      </c>
      <c r="AU266" s="5">
        <f t="shared" si="440"/>
        <v>2.5086768309242724</v>
      </c>
      <c r="AV266" s="5"/>
      <c r="AW266" s="177">
        <f t="shared" si="441"/>
        <v>0.12196310917650467</v>
      </c>
      <c r="AX266" s="177"/>
      <c r="BA266" s="469">
        <f t="shared" si="471"/>
        <v>5.4827721650935404</v>
      </c>
      <c r="BB266" s="469">
        <f t="shared" si="472"/>
        <v>0.51470416666666674</v>
      </c>
      <c r="BC266" s="5">
        <f t="shared" si="442"/>
        <v>5.8071222938061863E-2</v>
      </c>
      <c r="BD266" s="469">
        <f t="shared" si="473"/>
        <v>0</v>
      </c>
      <c r="BQ266" s="538">
        <f t="shared" si="474"/>
        <v>3.8200000000000005E-2</v>
      </c>
      <c r="CG266" s="571">
        <f t="shared" si="475"/>
        <v>-50</v>
      </c>
      <c r="CH266">
        <f t="shared" si="476"/>
        <v>-50</v>
      </c>
    </row>
    <row r="267" spans="5:86" x14ac:dyDescent="0.25">
      <c r="E267" s="174">
        <v>51</v>
      </c>
      <c r="F267" s="221">
        <f t="shared" si="477"/>
        <v>0.10200000000000001</v>
      </c>
      <c r="G267" s="221"/>
      <c r="H267" s="221">
        <f t="shared" si="443"/>
        <v>1.6320000000000001</v>
      </c>
      <c r="I267" s="551">
        <f t="shared" si="444"/>
        <v>48</v>
      </c>
      <c r="J267" s="451">
        <f t="shared" si="445"/>
        <v>19.584</v>
      </c>
      <c r="K267" s="451">
        <f t="shared" si="446"/>
        <v>67.584000000000003</v>
      </c>
      <c r="L267" s="451"/>
      <c r="M267" s="221">
        <f t="shared" si="447"/>
        <v>0.28977272727272724</v>
      </c>
      <c r="N267" s="176">
        <f t="shared" si="448"/>
        <v>9.6890727272727268</v>
      </c>
      <c r="O267" s="176">
        <f t="shared" si="478"/>
        <v>1.6320000000000001</v>
      </c>
      <c r="P267" s="221">
        <f t="shared" si="449"/>
        <v>0.60556704545454543</v>
      </c>
      <c r="Q267" s="221">
        <f t="shared" si="450"/>
        <v>16</v>
      </c>
      <c r="R267" s="221"/>
      <c r="S267" s="176">
        <f t="shared" si="451"/>
        <v>277.69309981946918</v>
      </c>
      <c r="T267" s="176">
        <f t="shared" si="452"/>
        <v>16</v>
      </c>
      <c r="U267" s="221">
        <f t="shared" si="453"/>
        <v>0.26074074074074077</v>
      </c>
      <c r="V267" s="221">
        <f t="shared" si="454"/>
        <v>0.162962962962963</v>
      </c>
      <c r="W267" s="221">
        <f t="shared" si="455"/>
        <v>0.39941902687000735</v>
      </c>
      <c r="X267" s="201">
        <f t="shared" si="456"/>
        <v>350</v>
      </c>
      <c r="Y267" s="451">
        <f t="shared" si="418"/>
        <v>350</v>
      </c>
      <c r="AA267" s="221">
        <f t="shared" si="457"/>
        <v>1.3246753246753247</v>
      </c>
      <c r="AB267" s="177">
        <f t="shared" si="458"/>
        <v>2.029220779220779</v>
      </c>
      <c r="AC267" s="177">
        <f t="shared" si="459"/>
        <v>0.5644923258559621</v>
      </c>
      <c r="AD267" s="177"/>
      <c r="AE267" s="177">
        <f t="shared" si="460"/>
        <v>0.4595588235294118</v>
      </c>
      <c r="AF267" s="555">
        <f t="shared" si="461"/>
        <v>1233.0666666666671</v>
      </c>
      <c r="AG267" s="538">
        <f t="shared" si="462"/>
        <v>2.8952205882352939E-2</v>
      </c>
      <c r="AI267" s="177">
        <f t="shared" si="463"/>
        <v>0.56309349642336104</v>
      </c>
      <c r="AJ267" s="177">
        <f t="shared" si="464"/>
        <v>0.56309349642336104</v>
      </c>
      <c r="AK267" s="177">
        <f t="shared" si="465"/>
        <v>1.3753956642822407</v>
      </c>
      <c r="AM267" s="555">
        <f t="shared" si="466"/>
        <v>102.00000000000001</v>
      </c>
      <c r="AN267" s="469">
        <f t="shared" si="467"/>
        <v>350</v>
      </c>
      <c r="AP267">
        <f t="shared" si="468"/>
        <v>102.00000000000001</v>
      </c>
      <c r="AQ267">
        <f t="shared" si="469"/>
        <v>350</v>
      </c>
      <c r="AS267" s="5">
        <f t="shared" si="479"/>
        <v>2.8571428571428572</v>
      </c>
      <c r="AT267" s="5">
        <f t="shared" si="470"/>
        <v>0.35193343526460069</v>
      </c>
      <c r="AU267" s="5">
        <f t="shared" si="440"/>
        <v>2.5052094218782566</v>
      </c>
      <c r="AV267" s="5"/>
      <c r="AW267" s="177">
        <f t="shared" si="441"/>
        <v>0.12317670234261024</v>
      </c>
      <c r="AX267" s="177"/>
      <c r="BA267" s="469">
        <f t="shared" si="471"/>
        <v>5.4827721650935404</v>
      </c>
      <c r="BB267" s="469">
        <f t="shared" si="472"/>
        <v>0.52937821500000015</v>
      </c>
      <c r="BC267" s="5">
        <f t="shared" si="442"/>
        <v>5.9150778016569941E-2</v>
      </c>
      <c r="BD267" s="469">
        <f t="shared" si="473"/>
        <v>0</v>
      </c>
      <c r="BQ267" s="538">
        <f t="shared" si="474"/>
        <v>3.8963999999999999E-2</v>
      </c>
      <c r="CG267" s="571">
        <f t="shared" si="475"/>
        <v>-50</v>
      </c>
      <c r="CH267">
        <f t="shared" si="476"/>
        <v>-50</v>
      </c>
    </row>
    <row r="268" spans="5:86" x14ac:dyDescent="0.25">
      <c r="E268" s="174">
        <v>52</v>
      </c>
      <c r="F268" s="221">
        <f t="shared" si="477"/>
        <v>0.10400000000000001</v>
      </c>
      <c r="G268" s="221"/>
      <c r="H268" s="221">
        <f t="shared" si="443"/>
        <v>1.6640000000000001</v>
      </c>
      <c r="I268" s="551">
        <f t="shared" si="444"/>
        <v>48</v>
      </c>
      <c r="J268" s="451">
        <f t="shared" si="445"/>
        <v>19.584</v>
      </c>
      <c r="K268" s="451">
        <f t="shared" si="446"/>
        <v>67.584000000000003</v>
      </c>
      <c r="L268" s="451"/>
      <c r="M268" s="221">
        <f t="shared" si="447"/>
        <v>0.28977272727272724</v>
      </c>
      <c r="N268" s="176">
        <f t="shared" si="448"/>
        <v>9.6890727272727268</v>
      </c>
      <c r="O268" s="176">
        <f t="shared" si="478"/>
        <v>1.6640000000000001</v>
      </c>
      <c r="P268" s="221">
        <f t="shared" si="449"/>
        <v>0.60556704545454543</v>
      </c>
      <c r="Q268" s="221">
        <f t="shared" si="450"/>
        <v>16</v>
      </c>
      <c r="R268" s="221"/>
      <c r="S268" s="176">
        <f t="shared" si="451"/>
        <v>271.58553671079835</v>
      </c>
      <c r="T268" s="176">
        <f t="shared" si="452"/>
        <v>16</v>
      </c>
      <c r="U268" s="221">
        <f t="shared" si="453"/>
        <v>0.26585330428467685</v>
      </c>
      <c r="V268" s="221">
        <f t="shared" si="454"/>
        <v>0.16615831517792304</v>
      </c>
      <c r="W268" s="221">
        <f t="shared" si="455"/>
        <v>0.40725077249490937</v>
      </c>
      <c r="X268" s="201">
        <f t="shared" si="456"/>
        <v>350</v>
      </c>
      <c r="Y268" s="451">
        <f t="shared" si="418"/>
        <v>350</v>
      </c>
      <c r="AA268" s="221">
        <f t="shared" si="457"/>
        <v>1.3246753246753247</v>
      </c>
      <c r="AB268" s="177">
        <f t="shared" si="458"/>
        <v>2.029220779220779</v>
      </c>
      <c r="AC268" s="177">
        <f t="shared" si="459"/>
        <v>0.5644923258559621</v>
      </c>
      <c r="AD268" s="177"/>
      <c r="AE268" s="177">
        <f t="shared" si="460"/>
        <v>0.4595588235294118</v>
      </c>
      <c r="AF268" s="555">
        <f t="shared" si="461"/>
        <v>1257.2444444444448</v>
      </c>
      <c r="AG268" s="538">
        <f t="shared" si="462"/>
        <v>2.8952205882352939E-2</v>
      </c>
      <c r="AI268" s="177">
        <f t="shared" si="463"/>
        <v>0.56858722160406361</v>
      </c>
      <c r="AJ268" s="177">
        <f t="shared" si="464"/>
        <v>0.56858722160406361</v>
      </c>
      <c r="AK268" s="177">
        <f t="shared" si="465"/>
        <v>1.3790581477360424</v>
      </c>
      <c r="AM268" s="555">
        <f t="shared" si="466"/>
        <v>104.00000000000001</v>
      </c>
      <c r="AN268" s="469">
        <f t="shared" si="467"/>
        <v>350</v>
      </c>
      <c r="AP268">
        <f t="shared" si="468"/>
        <v>104.00000000000001</v>
      </c>
      <c r="AQ268">
        <f t="shared" si="469"/>
        <v>350</v>
      </c>
      <c r="AS268" s="5">
        <f t="shared" si="479"/>
        <v>2.8571428571428572</v>
      </c>
      <c r="AT268" s="5">
        <f t="shared" si="470"/>
        <v>0.35536701350253974</v>
      </c>
      <c r="AU268" s="5">
        <f t="shared" si="440"/>
        <v>2.5017758436403175</v>
      </c>
      <c r="AV268" s="5"/>
      <c r="AW268" s="177">
        <f t="shared" si="441"/>
        <v>0.1243784547258889</v>
      </c>
      <c r="AX268" s="177"/>
      <c r="BA268" s="469">
        <f t="shared" si="471"/>
        <v>5.4827721650935404</v>
      </c>
      <c r="BB268" s="469">
        <f t="shared" si="472"/>
        <v>0.5442240266666668</v>
      </c>
      <c r="BC268" s="5">
        <f t="shared" si="442"/>
        <v>6.0227936976526161E-2</v>
      </c>
      <c r="BD268" s="469">
        <f t="shared" si="473"/>
        <v>0</v>
      </c>
      <c r="BQ268" s="538">
        <f t="shared" si="474"/>
        <v>3.9728000000000006E-2</v>
      </c>
      <c r="CG268" s="571">
        <f t="shared" si="475"/>
        <v>-50</v>
      </c>
      <c r="CH268">
        <f t="shared" si="476"/>
        <v>-50</v>
      </c>
    </row>
    <row r="269" spans="5:86" x14ac:dyDescent="0.25">
      <c r="E269" s="174">
        <v>53</v>
      </c>
      <c r="F269" s="221">
        <f t="shared" si="477"/>
        <v>0.10600000000000001</v>
      </c>
      <c r="G269" s="221"/>
      <c r="H269" s="221">
        <f t="shared" si="443"/>
        <v>1.6960000000000002</v>
      </c>
      <c r="I269" s="551">
        <f t="shared" si="444"/>
        <v>48</v>
      </c>
      <c r="J269" s="451">
        <f t="shared" si="445"/>
        <v>19.584</v>
      </c>
      <c r="K269" s="451">
        <f t="shared" si="446"/>
        <v>67.584000000000003</v>
      </c>
      <c r="L269" s="451"/>
      <c r="M269" s="221">
        <f t="shared" si="447"/>
        <v>0.28977272727272724</v>
      </c>
      <c r="N269" s="176">
        <f t="shared" si="448"/>
        <v>9.6890727272727268</v>
      </c>
      <c r="O269" s="176">
        <f t="shared" si="478"/>
        <v>1.6960000000000002</v>
      </c>
      <c r="P269" s="221">
        <f t="shared" si="449"/>
        <v>0.60556704545454543</v>
      </c>
      <c r="Q269" s="221">
        <f t="shared" si="450"/>
        <v>16</v>
      </c>
      <c r="R269" s="221"/>
      <c r="S269" s="176">
        <f t="shared" si="451"/>
        <v>265.70849250540374</v>
      </c>
      <c r="T269" s="176">
        <f t="shared" si="452"/>
        <v>16</v>
      </c>
      <c r="U269" s="221">
        <f t="shared" si="453"/>
        <v>0.27096586782861298</v>
      </c>
      <c r="V269" s="221">
        <f t="shared" si="454"/>
        <v>0.1693536673928831</v>
      </c>
      <c r="W269" s="221">
        <f t="shared" si="455"/>
        <v>0.41508251811981156</v>
      </c>
      <c r="X269" s="201">
        <f t="shared" si="456"/>
        <v>350</v>
      </c>
      <c r="Y269" s="451">
        <f t="shared" si="418"/>
        <v>350</v>
      </c>
      <c r="AA269" s="221">
        <f t="shared" si="457"/>
        <v>1.3246753246753247</v>
      </c>
      <c r="AB269" s="177">
        <f t="shared" si="458"/>
        <v>2.029220779220779</v>
      </c>
      <c r="AC269" s="177">
        <f t="shared" si="459"/>
        <v>0.5644923258559621</v>
      </c>
      <c r="AD269" s="177"/>
      <c r="AE269" s="177">
        <f t="shared" si="460"/>
        <v>0.4595588235294118</v>
      </c>
      <c r="AF269" s="555">
        <f t="shared" si="461"/>
        <v>1281.4222222222224</v>
      </c>
      <c r="AG269" s="538">
        <f t="shared" si="462"/>
        <v>2.8952205882352939E-2</v>
      </c>
      <c r="AI269" s="177">
        <f t="shared" si="463"/>
        <v>0.57402837162336451</v>
      </c>
      <c r="AJ269" s="177">
        <f t="shared" si="464"/>
        <v>0.57402837162336451</v>
      </c>
      <c r="AK269" s="177">
        <f t="shared" si="465"/>
        <v>1.3826855810822429</v>
      </c>
      <c r="AM269" s="555">
        <f t="shared" si="466"/>
        <v>106.00000000000001</v>
      </c>
      <c r="AN269" s="469">
        <f t="shared" si="467"/>
        <v>350</v>
      </c>
      <c r="AP269">
        <f t="shared" si="468"/>
        <v>106.00000000000001</v>
      </c>
      <c r="AQ269">
        <f t="shared" si="469"/>
        <v>350</v>
      </c>
      <c r="AS269" s="5">
        <f t="shared" si="479"/>
        <v>2.8571428571428572</v>
      </c>
      <c r="AT269" s="5">
        <f t="shared" si="470"/>
        <v>0.35876773226460285</v>
      </c>
      <c r="AU269" s="5">
        <f t="shared" si="440"/>
        <v>2.4983751248782542</v>
      </c>
      <c r="AV269" s="5"/>
      <c r="AW269" s="177">
        <f t="shared" si="441"/>
        <v>0.12556870629261099</v>
      </c>
      <c r="AX269" s="177"/>
      <c r="BA269" s="469">
        <f t="shared" si="471"/>
        <v>5.4827721650935404</v>
      </c>
      <c r="BB269" s="469">
        <f t="shared" si="472"/>
        <v>0.55924160166666681</v>
      </c>
      <c r="BC269" s="5">
        <f t="shared" si="442"/>
        <v>6.1302722971549768E-2</v>
      </c>
      <c r="BD269" s="469">
        <f t="shared" si="473"/>
        <v>0</v>
      </c>
      <c r="BQ269" s="538">
        <f t="shared" si="474"/>
        <v>4.0492000000000007E-2</v>
      </c>
      <c r="CG269" s="571">
        <f t="shared" si="475"/>
        <v>-50</v>
      </c>
      <c r="CH269">
        <f t="shared" si="476"/>
        <v>-50</v>
      </c>
    </row>
    <row r="270" spans="5:86" x14ac:dyDescent="0.25">
      <c r="E270" s="174">
        <v>54</v>
      </c>
      <c r="F270" s="221">
        <f t="shared" si="477"/>
        <v>0.10800000000000001</v>
      </c>
      <c r="G270" s="221"/>
      <c r="H270" s="221">
        <f t="shared" si="443"/>
        <v>1.7280000000000002</v>
      </c>
      <c r="I270" s="551">
        <f t="shared" si="444"/>
        <v>48</v>
      </c>
      <c r="J270" s="451">
        <f t="shared" si="445"/>
        <v>19.584</v>
      </c>
      <c r="K270" s="451">
        <f t="shared" si="446"/>
        <v>67.584000000000003</v>
      </c>
      <c r="L270" s="451"/>
      <c r="M270" s="221">
        <f t="shared" si="447"/>
        <v>0.28977272727272724</v>
      </c>
      <c r="N270" s="176">
        <f t="shared" si="448"/>
        <v>9.6890727272727268</v>
      </c>
      <c r="O270" s="176">
        <f t="shared" si="478"/>
        <v>1.7280000000000002</v>
      </c>
      <c r="P270" s="221">
        <f t="shared" si="449"/>
        <v>0.60556704545454543</v>
      </c>
      <c r="Q270" s="221">
        <f t="shared" si="450"/>
        <v>16</v>
      </c>
      <c r="R270" s="221"/>
      <c r="S270" s="176">
        <f t="shared" si="451"/>
        <v>260.04916096803629</v>
      </c>
      <c r="T270" s="176">
        <f t="shared" si="452"/>
        <v>16</v>
      </c>
      <c r="U270" s="221">
        <f t="shared" si="453"/>
        <v>0.27607843137254906</v>
      </c>
      <c r="V270" s="221">
        <f t="shared" si="454"/>
        <v>0.17254901960784319</v>
      </c>
      <c r="W270" s="221">
        <f t="shared" si="455"/>
        <v>0.42291426374471369</v>
      </c>
      <c r="X270" s="201">
        <f t="shared" si="456"/>
        <v>350</v>
      </c>
      <c r="Y270" s="451">
        <f t="shared" si="418"/>
        <v>350</v>
      </c>
      <c r="AA270" s="221">
        <f t="shared" si="457"/>
        <v>1.3246753246753247</v>
      </c>
      <c r="AB270" s="177">
        <f t="shared" si="458"/>
        <v>2.029220779220779</v>
      </c>
      <c r="AC270" s="177">
        <f t="shared" si="459"/>
        <v>0.5644923258559621</v>
      </c>
      <c r="AD270" s="177"/>
      <c r="AE270" s="177">
        <f t="shared" si="460"/>
        <v>0.4595588235294118</v>
      </c>
      <c r="AF270" s="555">
        <f t="shared" si="461"/>
        <v>1305.6000000000001</v>
      </c>
      <c r="AG270" s="538">
        <f t="shared" si="462"/>
        <v>2.8952205882352939E-2</v>
      </c>
      <c r="AI270" s="177">
        <f t="shared" si="463"/>
        <v>0.57941842763732865</v>
      </c>
      <c r="AJ270" s="177">
        <f t="shared" si="464"/>
        <v>0.57941842763732865</v>
      </c>
      <c r="AK270" s="177">
        <f t="shared" si="465"/>
        <v>1.386278951758219</v>
      </c>
      <c r="AM270" s="555">
        <f t="shared" si="466"/>
        <v>108.00000000000001</v>
      </c>
      <c r="AN270" s="469">
        <f t="shared" si="467"/>
        <v>350</v>
      </c>
      <c r="AP270">
        <f t="shared" si="468"/>
        <v>108.00000000000001</v>
      </c>
      <c r="AQ270">
        <f t="shared" si="469"/>
        <v>350</v>
      </c>
      <c r="AS270" s="5">
        <f t="shared" si="479"/>
        <v>2.8571428571428572</v>
      </c>
      <c r="AT270" s="5">
        <f t="shared" si="470"/>
        <v>0.36213651727333046</v>
      </c>
      <c r="AU270" s="5">
        <f t="shared" si="440"/>
        <v>2.4950063398695268</v>
      </c>
      <c r="AV270" s="5"/>
      <c r="AW270" s="177">
        <f t="shared" si="441"/>
        <v>0.12674778104566567</v>
      </c>
      <c r="AX270" s="177"/>
      <c r="BA270" s="469">
        <f t="shared" si="471"/>
        <v>5.4827721650935404</v>
      </c>
      <c r="BB270" s="469">
        <f t="shared" si="472"/>
        <v>0.57443094000000028</v>
      </c>
      <c r="BC270" s="5">
        <f t="shared" si="442"/>
        <v>6.2375158496738171E-2</v>
      </c>
      <c r="BD270" s="469">
        <f t="shared" si="473"/>
        <v>0</v>
      </c>
      <c r="BQ270" s="538">
        <f t="shared" si="474"/>
        <v>4.1256000000000008E-2</v>
      </c>
      <c r="CG270" s="571">
        <f t="shared" si="475"/>
        <v>-50</v>
      </c>
      <c r="CH270">
        <f t="shared" si="476"/>
        <v>-50</v>
      </c>
    </row>
    <row r="271" spans="5:86" x14ac:dyDescent="0.25">
      <c r="E271" s="174">
        <v>55</v>
      </c>
      <c r="F271" s="221">
        <f t="shared" si="477"/>
        <v>0.11000000000000001</v>
      </c>
      <c r="G271" s="221"/>
      <c r="H271" s="221">
        <f t="shared" si="443"/>
        <v>1.7600000000000002</v>
      </c>
      <c r="I271" s="551">
        <f t="shared" si="444"/>
        <v>48</v>
      </c>
      <c r="J271" s="451">
        <f t="shared" si="445"/>
        <v>19.584</v>
      </c>
      <c r="K271" s="451">
        <f t="shared" si="446"/>
        <v>67.584000000000003</v>
      </c>
      <c r="L271" s="451"/>
      <c r="M271" s="221">
        <f t="shared" si="447"/>
        <v>0.28977272727272724</v>
      </c>
      <c r="N271" s="176">
        <f t="shared" si="448"/>
        <v>9.6890727272727268</v>
      </c>
      <c r="O271" s="176">
        <f t="shared" si="478"/>
        <v>1.7600000000000002</v>
      </c>
      <c r="P271" s="221">
        <f t="shared" si="449"/>
        <v>0.60556704545454543</v>
      </c>
      <c r="Q271" s="221">
        <f t="shared" si="450"/>
        <v>16</v>
      </c>
      <c r="R271" s="221"/>
      <c r="S271" s="176">
        <f t="shared" si="451"/>
        <v>254.59566723006148</v>
      </c>
      <c r="T271" s="176">
        <f t="shared" si="452"/>
        <v>16</v>
      </c>
      <c r="U271" s="221">
        <f t="shared" si="453"/>
        <v>0.28119099491648514</v>
      </c>
      <c r="V271" s="221">
        <f t="shared" si="454"/>
        <v>0.1757443718228032</v>
      </c>
      <c r="W271" s="221">
        <f t="shared" si="455"/>
        <v>0.43074600936961566</v>
      </c>
      <c r="X271" s="201">
        <f t="shared" si="456"/>
        <v>350</v>
      </c>
      <c r="Y271" s="451">
        <f t="shared" si="418"/>
        <v>350</v>
      </c>
      <c r="AA271" s="221">
        <f t="shared" si="457"/>
        <v>1.3246753246753247</v>
      </c>
      <c r="AB271" s="177">
        <f t="shared" si="458"/>
        <v>2.029220779220779</v>
      </c>
      <c r="AC271" s="177">
        <f t="shared" si="459"/>
        <v>0.5644923258559621</v>
      </c>
      <c r="AD271" s="177"/>
      <c r="AE271" s="177">
        <f t="shared" si="460"/>
        <v>0.4595588235294118</v>
      </c>
      <c r="AF271" s="555">
        <f t="shared" si="461"/>
        <v>1329.7777777777781</v>
      </c>
      <c r="AG271" s="538">
        <f t="shared" si="462"/>
        <v>2.8952205882352939E-2</v>
      </c>
      <c r="AI271" s="177">
        <f t="shared" si="463"/>
        <v>0.58475880253558998</v>
      </c>
      <c r="AJ271" s="177">
        <f t="shared" si="464"/>
        <v>0.58475880253558998</v>
      </c>
      <c r="AK271" s="177">
        <f t="shared" si="465"/>
        <v>1.3898392016903933</v>
      </c>
      <c r="AM271" s="555">
        <f t="shared" si="466"/>
        <v>110.00000000000001</v>
      </c>
      <c r="AN271" s="469">
        <f t="shared" si="467"/>
        <v>350</v>
      </c>
      <c r="AP271">
        <f t="shared" si="468"/>
        <v>110.00000000000001</v>
      </c>
      <c r="AQ271">
        <f t="shared" si="469"/>
        <v>350</v>
      </c>
      <c r="AS271" s="5">
        <f t="shared" si="479"/>
        <v>2.8571428571428572</v>
      </c>
      <c r="AT271" s="5">
        <f t="shared" si="470"/>
        <v>0.36547425158474378</v>
      </c>
      <c r="AU271" s="5">
        <f t="shared" si="440"/>
        <v>2.4916686055581136</v>
      </c>
      <c r="AV271" s="5"/>
      <c r="AW271" s="177">
        <f t="shared" si="441"/>
        <v>0.12791598805466031</v>
      </c>
      <c r="AX271" s="177"/>
      <c r="BA271" s="469">
        <f t="shared" si="471"/>
        <v>5.4827721650935404</v>
      </c>
      <c r="BB271" s="469">
        <f t="shared" si="472"/>
        <v>0.58979204166666688</v>
      </c>
      <c r="BC271" s="5">
        <f t="shared" si="442"/>
        <v>6.3445265419303815E-2</v>
      </c>
      <c r="BD271" s="469">
        <f t="shared" si="473"/>
        <v>0</v>
      </c>
      <c r="BQ271" s="538">
        <f t="shared" si="474"/>
        <v>4.2020000000000009E-2</v>
      </c>
      <c r="CG271" s="571">
        <f t="shared" si="475"/>
        <v>-50</v>
      </c>
      <c r="CH271">
        <f t="shared" si="476"/>
        <v>-50</v>
      </c>
    </row>
    <row r="272" spans="5:86" x14ac:dyDescent="0.25">
      <c r="E272" s="174">
        <v>56</v>
      </c>
      <c r="F272" s="221">
        <f t="shared" si="477"/>
        <v>0.11200000000000002</v>
      </c>
      <c r="G272" s="221"/>
      <c r="H272" s="221">
        <f t="shared" si="443"/>
        <v>1.7920000000000003</v>
      </c>
      <c r="I272" s="551">
        <f t="shared" si="444"/>
        <v>48</v>
      </c>
      <c r="J272" s="451">
        <f t="shared" si="445"/>
        <v>19.584</v>
      </c>
      <c r="K272" s="451">
        <f t="shared" si="446"/>
        <v>67.584000000000003</v>
      </c>
      <c r="L272" s="451"/>
      <c r="M272" s="221">
        <f t="shared" si="447"/>
        <v>0.28977272727272724</v>
      </c>
      <c r="N272" s="176">
        <f t="shared" si="448"/>
        <v>9.6890727272727268</v>
      </c>
      <c r="O272" s="176">
        <f t="shared" si="478"/>
        <v>1.7920000000000003</v>
      </c>
      <c r="P272" s="221">
        <f t="shared" si="449"/>
        <v>0.60556704545454543</v>
      </c>
      <c r="Q272" s="221">
        <f t="shared" si="450"/>
        <v>16</v>
      </c>
      <c r="R272" s="221"/>
      <c r="S272" s="176">
        <f t="shared" si="451"/>
        <v>249.33698463178078</v>
      </c>
      <c r="T272" s="176">
        <f t="shared" si="452"/>
        <v>16</v>
      </c>
      <c r="U272" s="221">
        <f t="shared" si="453"/>
        <v>0.28630355846042127</v>
      </c>
      <c r="V272" s="221">
        <f t="shared" si="454"/>
        <v>0.17893972403776329</v>
      </c>
      <c r="W272" s="221">
        <f t="shared" si="455"/>
        <v>0.4385777549945179</v>
      </c>
      <c r="X272" s="201">
        <f t="shared" si="456"/>
        <v>350</v>
      </c>
      <c r="Y272" s="451">
        <f t="shared" si="418"/>
        <v>350</v>
      </c>
      <c r="AA272" s="221">
        <f t="shared" si="457"/>
        <v>1.3246753246753247</v>
      </c>
      <c r="AB272" s="177">
        <f t="shared" si="458"/>
        <v>2.029220779220779</v>
      </c>
      <c r="AC272" s="177">
        <f t="shared" si="459"/>
        <v>0.5644923258559621</v>
      </c>
      <c r="AD272" s="177"/>
      <c r="AE272" s="177">
        <f t="shared" si="460"/>
        <v>0.4595588235294118</v>
      </c>
      <c r="AF272" s="555">
        <f t="shared" si="461"/>
        <v>1353.955555555556</v>
      </c>
      <c r="AG272" s="538">
        <f t="shared" si="462"/>
        <v>2.8952205882352939E-2</v>
      </c>
      <c r="AI272" s="177">
        <f t="shared" si="463"/>
        <v>0.59005084526674478</v>
      </c>
      <c r="AJ272" s="177">
        <f t="shared" si="464"/>
        <v>0.59005084526674478</v>
      </c>
      <c r="AK272" s="177">
        <f t="shared" si="465"/>
        <v>1.3933672301778297</v>
      </c>
      <c r="AM272" s="555">
        <f t="shared" si="466"/>
        <v>112.00000000000001</v>
      </c>
      <c r="AN272" s="469">
        <f t="shared" si="467"/>
        <v>350</v>
      </c>
      <c r="AP272">
        <f t="shared" si="468"/>
        <v>112.00000000000001</v>
      </c>
      <c r="AQ272">
        <f t="shared" si="469"/>
        <v>350</v>
      </c>
      <c r="AS272" s="5">
        <f t="shared" si="479"/>
        <v>2.8571428571428572</v>
      </c>
      <c r="AT272" s="5">
        <f t="shared" si="470"/>
        <v>0.36878177829171549</v>
      </c>
      <c r="AU272" s="5">
        <f t="shared" si="440"/>
        <v>2.4883610788511419</v>
      </c>
      <c r="AV272" s="5"/>
      <c r="AW272" s="177">
        <f t="shared" si="441"/>
        <v>0.12907362240210041</v>
      </c>
      <c r="AX272" s="177"/>
      <c r="BA272" s="469">
        <f t="shared" si="471"/>
        <v>5.4827721650935404</v>
      </c>
      <c r="BB272" s="469">
        <f t="shared" si="472"/>
        <v>0.60532490666666683</v>
      </c>
      <c r="BC272" s="5">
        <f t="shared" si="442"/>
        <v>6.4513065007251832E-2</v>
      </c>
      <c r="BD272" s="469">
        <f t="shared" si="473"/>
        <v>0</v>
      </c>
      <c r="BQ272" s="538">
        <f t="shared" si="474"/>
        <v>4.2784000000000003E-2</v>
      </c>
      <c r="CG272" s="571">
        <f t="shared" si="475"/>
        <v>-50</v>
      </c>
      <c r="CH272">
        <f t="shared" si="476"/>
        <v>-50</v>
      </c>
    </row>
    <row r="273" spans="5:86" x14ac:dyDescent="0.25">
      <c r="E273" s="174">
        <v>57</v>
      </c>
      <c r="F273" s="221">
        <f t="shared" si="477"/>
        <v>0.11399999999999999</v>
      </c>
      <c r="G273" s="221"/>
      <c r="H273" s="221">
        <f t="shared" si="443"/>
        <v>1.8239999999999998</v>
      </c>
      <c r="I273" s="551">
        <f t="shared" si="444"/>
        <v>48</v>
      </c>
      <c r="J273" s="451">
        <f t="shared" si="445"/>
        <v>19.584</v>
      </c>
      <c r="K273" s="451">
        <f t="shared" si="446"/>
        <v>67.584000000000003</v>
      </c>
      <c r="L273" s="451"/>
      <c r="M273" s="221">
        <f t="shared" si="447"/>
        <v>0.28977272727272724</v>
      </c>
      <c r="N273" s="176">
        <f t="shared" si="448"/>
        <v>9.6890727272727268</v>
      </c>
      <c r="O273" s="176">
        <f t="shared" si="478"/>
        <v>1.8239999999999998</v>
      </c>
      <c r="P273" s="221">
        <f t="shared" si="449"/>
        <v>0.60556704545454543</v>
      </c>
      <c r="Q273" s="221">
        <f t="shared" si="450"/>
        <v>16</v>
      </c>
      <c r="R273" s="221"/>
      <c r="S273" s="176">
        <f t="shared" si="451"/>
        <v>244.26286031819402</v>
      </c>
      <c r="T273" s="176">
        <f t="shared" si="452"/>
        <v>16</v>
      </c>
      <c r="U273" s="221">
        <f t="shared" si="453"/>
        <v>0.29141612200435729</v>
      </c>
      <c r="V273" s="221">
        <f t="shared" si="454"/>
        <v>0.18213507625272332</v>
      </c>
      <c r="W273" s="221">
        <f t="shared" si="455"/>
        <v>0.44640950061941992</v>
      </c>
      <c r="X273" s="201">
        <f t="shared" si="456"/>
        <v>350</v>
      </c>
      <c r="Y273" s="451">
        <f t="shared" si="418"/>
        <v>350</v>
      </c>
      <c r="AA273" s="221">
        <f t="shared" si="457"/>
        <v>1.3246753246753247</v>
      </c>
      <c r="AB273" s="177">
        <f t="shared" si="458"/>
        <v>2.029220779220779</v>
      </c>
      <c r="AC273" s="177">
        <f t="shared" si="459"/>
        <v>0.5644923258559621</v>
      </c>
      <c r="AD273" s="177"/>
      <c r="AE273" s="177">
        <f t="shared" si="460"/>
        <v>0.4595588235294118</v>
      </c>
      <c r="AF273" s="555">
        <f t="shared" si="461"/>
        <v>1378.1333333333332</v>
      </c>
      <c r="AG273" s="538">
        <f t="shared" si="462"/>
        <v>2.8952205882352939E-2</v>
      </c>
      <c r="AI273" s="177">
        <f t="shared" si="463"/>
        <v>0.59529584481763587</v>
      </c>
      <c r="AJ273" s="177">
        <f t="shared" si="464"/>
        <v>0.59529584481763587</v>
      </c>
      <c r="AK273" s="177">
        <f t="shared" si="465"/>
        <v>1.3968638965450906</v>
      </c>
      <c r="AM273" s="555">
        <f t="shared" si="466"/>
        <v>113.99999999999999</v>
      </c>
      <c r="AN273" s="469">
        <f t="shared" si="467"/>
        <v>350</v>
      </c>
      <c r="AP273">
        <f t="shared" si="468"/>
        <v>113.99999999999999</v>
      </c>
      <c r="AQ273">
        <f t="shared" si="469"/>
        <v>350</v>
      </c>
      <c r="AS273" s="5">
        <f t="shared" si="479"/>
        <v>2.8571428571428572</v>
      </c>
      <c r="AT273" s="5">
        <f t="shared" si="470"/>
        <v>0.37205990301102243</v>
      </c>
      <c r="AU273" s="5">
        <f t="shared" si="440"/>
        <v>2.4850829541318347</v>
      </c>
      <c r="AV273" s="5"/>
      <c r="AW273" s="177">
        <f t="shared" si="441"/>
        <v>0.13022096605385786</v>
      </c>
      <c r="AX273" s="177"/>
      <c r="BA273" s="469">
        <f t="shared" si="471"/>
        <v>5.4827721650935404</v>
      </c>
      <c r="BB273" s="469">
        <f t="shared" si="472"/>
        <v>0.62102953499999991</v>
      </c>
      <c r="BC273" s="5">
        <f t="shared" si="442"/>
        <v>6.5578577956256739E-2</v>
      </c>
      <c r="BD273" s="469">
        <f t="shared" si="473"/>
        <v>0</v>
      </c>
      <c r="BQ273" s="538">
        <f t="shared" si="474"/>
        <v>4.3547999999999996E-2</v>
      </c>
      <c r="CG273" s="571">
        <f t="shared" si="475"/>
        <v>-50</v>
      </c>
      <c r="CH273">
        <f t="shared" si="476"/>
        <v>-50</v>
      </c>
    </row>
    <row r="274" spans="5:86" x14ac:dyDescent="0.25">
      <c r="E274" s="174">
        <v>58</v>
      </c>
      <c r="F274" s="221">
        <f t="shared" si="477"/>
        <v>0.11599999999999999</v>
      </c>
      <c r="G274" s="221"/>
      <c r="H274" s="221">
        <f t="shared" si="443"/>
        <v>1.8559999999999999</v>
      </c>
      <c r="I274" s="551">
        <f t="shared" si="444"/>
        <v>48</v>
      </c>
      <c r="J274" s="451">
        <f t="shared" si="445"/>
        <v>19.584</v>
      </c>
      <c r="K274" s="451">
        <f t="shared" si="446"/>
        <v>67.584000000000003</v>
      </c>
      <c r="L274" s="451"/>
      <c r="M274" s="221">
        <f t="shared" si="447"/>
        <v>0.28977272727272724</v>
      </c>
      <c r="N274" s="176">
        <f t="shared" si="448"/>
        <v>9.6890727272727268</v>
      </c>
      <c r="O274" s="176">
        <f t="shared" si="478"/>
        <v>1.8559999999999999</v>
      </c>
      <c r="P274" s="221">
        <f t="shared" si="449"/>
        <v>0.60556704545454543</v>
      </c>
      <c r="Q274" s="221">
        <f t="shared" si="450"/>
        <v>16</v>
      </c>
      <c r="R274" s="221"/>
      <c r="S274" s="176">
        <f t="shared" si="451"/>
        <v>239.36374853175226</v>
      </c>
      <c r="T274" s="176">
        <f t="shared" si="452"/>
        <v>16</v>
      </c>
      <c r="U274" s="221">
        <f t="shared" si="453"/>
        <v>0.29652868554829337</v>
      </c>
      <c r="V274" s="221">
        <f t="shared" si="454"/>
        <v>0.18533042846768333</v>
      </c>
      <c r="W274" s="221">
        <f t="shared" si="455"/>
        <v>0.45424124624432194</v>
      </c>
      <c r="X274" s="201">
        <f t="shared" si="456"/>
        <v>350</v>
      </c>
      <c r="Y274" s="451">
        <f t="shared" si="418"/>
        <v>350</v>
      </c>
      <c r="AA274" s="221">
        <f t="shared" si="457"/>
        <v>1.3246753246753247</v>
      </c>
      <c r="AB274" s="177">
        <f t="shared" si="458"/>
        <v>2.029220779220779</v>
      </c>
      <c r="AC274" s="177">
        <f t="shared" si="459"/>
        <v>0.5644923258559621</v>
      </c>
      <c r="AD274" s="177"/>
      <c r="AE274" s="177">
        <f t="shared" si="460"/>
        <v>0.4595588235294118</v>
      </c>
      <c r="AF274" s="555">
        <f t="shared" si="461"/>
        <v>1402.3111111111111</v>
      </c>
      <c r="AG274" s="538">
        <f t="shared" si="462"/>
        <v>2.8952205882352939E-2</v>
      </c>
      <c r="AI274" s="177">
        <f t="shared" si="463"/>
        <v>0.60049503387978631</v>
      </c>
      <c r="AJ274" s="177">
        <f t="shared" si="464"/>
        <v>0.60049503387978631</v>
      </c>
      <c r="AK274" s="177">
        <f t="shared" si="465"/>
        <v>1.4003300225865243</v>
      </c>
      <c r="AM274" s="555">
        <f t="shared" si="466"/>
        <v>115.99999999999999</v>
      </c>
      <c r="AN274" s="469">
        <f t="shared" si="467"/>
        <v>350</v>
      </c>
      <c r="AP274">
        <f t="shared" si="468"/>
        <v>115.99999999999999</v>
      </c>
      <c r="AQ274">
        <f t="shared" si="469"/>
        <v>350</v>
      </c>
      <c r="AS274" s="5">
        <f t="shared" si="479"/>
        <v>2.8571428571428572</v>
      </c>
      <c r="AT274" s="5">
        <f t="shared" si="470"/>
        <v>0.37530939617486642</v>
      </c>
      <c r="AU274" s="5">
        <f t="shared" si="440"/>
        <v>2.4818334609679908</v>
      </c>
      <c r="AV274" s="5"/>
      <c r="AW274" s="177">
        <f t="shared" si="441"/>
        <v>0.13135828866120325</v>
      </c>
      <c r="AX274" s="177"/>
      <c r="BA274" s="469">
        <f t="shared" si="471"/>
        <v>5.4827721650935404</v>
      </c>
      <c r="BB274" s="469">
        <f t="shared" si="472"/>
        <v>0.63690592666666657</v>
      </c>
      <c r="BC274" s="5">
        <f t="shared" si="442"/>
        <v>6.6641824414881229E-2</v>
      </c>
      <c r="BD274" s="469">
        <f t="shared" si="473"/>
        <v>0</v>
      </c>
      <c r="BQ274" s="538">
        <f t="shared" si="474"/>
        <v>4.4311999999999997E-2</v>
      </c>
      <c r="CG274" s="571">
        <f t="shared" si="475"/>
        <v>-50</v>
      </c>
      <c r="CH274">
        <f t="shared" si="476"/>
        <v>-50</v>
      </c>
    </row>
    <row r="275" spans="5:86" x14ac:dyDescent="0.25">
      <c r="E275" s="174">
        <v>59</v>
      </c>
      <c r="F275" s="221">
        <f t="shared" si="477"/>
        <v>0.11799999999999999</v>
      </c>
      <c r="G275" s="221"/>
      <c r="H275" s="221">
        <f t="shared" si="443"/>
        <v>1.8879999999999999</v>
      </c>
      <c r="I275" s="551">
        <f t="shared" si="444"/>
        <v>48</v>
      </c>
      <c r="J275" s="451">
        <f t="shared" si="445"/>
        <v>19.584</v>
      </c>
      <c r="K275" s="451">
        <f t="shared" si="446"/>
        <v>67.584000000000003</v>
      </c>
      <c r="L275" s="451"/>
      <c r="M275" s="221">
        <f t="shared" si="447"/>
        <v>0.28977272727272724</v>
      </c>
      <c r="N275" s="176">
        <f t="shared" si="448"/>
        <v>9.6890727272727268</v>
      </c>
      <c r="O275" s="176">
        <f t="shared" si="478"/>
        <v>1.8879999999999999</v>
      </c>
      <c r="P275" s="221">
        <f t="shared" si="449"/>
        <v>0.60556704545454543</v>
      </c>
      <c r="Q275" s="221">
        <f t="shared" si="450"/>
        <v>16</v>
      </c>
      <c r="R275" s="221"/>
      <c r="S275" s="176">
        <f t="shared" si="451"/>
        <v>234.63075068890012</v>
      </c>
      <c r="T275" s="176">
        <f t="shared" si="452"/>
        <v>16</v>
      </c>
      <c r="U275" s="221">
        <f t="shared" si="453"/>
        <v>0.3016412490922295</v>
      </c>
      <c r="V275" s="221">
        <f t="shared" si="454"/>
        <v>0.18852578068264345</v>
      </c>
      <c r="W275" s="221">
        <f t="shared" si="455"/>
        <v>0.46207299186922413</v>
      </c>
      <c r="X275" s="201">
        <f t="shared" si="456"/>
        <v>350</v>
      </c>
      <c r="Y275" s="451">
        <f t="shared" si="418"/>
        <v>350</v>
      </c>
      <c r="AA275" s="221">
        <f t="shared" si="457"/>
        <v>1.3246753246753247</v>
      </c>
      <c r="AB275" s="177">
        <f t="shared" si="458"/>
        <v>2.029220779220779</v>
      </c>
      <c r="AC275" s="177">
        <f t="shared" si="459"/>
        <v>0.5644923258559621</v>
      </c>
      <c r="AD275" s="177"/>
      <c r="AE275" s="177">
        <f t="shared" si="460"/>
        <v>0.4595588235294118</v>
      </c>
      <c r="AF275" s="555">
        <f t="shared" si="461"/>
        <v>1426.4888888888891</v>
      </c>
      <c r="AG275" s="538">
        <f t="shared" si="462"/>
        <v>2.8952205882352939E-2</v>
      </c>
      <c r="AI275" s="177">
        <f t="shared" si="463"/>
        <v>0.6056495922325289</v>
      </c>
      <c r="AJ275" s="177">
        <f t="shared" si="464"/>
        <v>0.6056495922325289</v>
      </c>
      <c r="AK275" s="177">
        <f t="shared" si="465"/>
        <v>1.4037663948216859</v>
      </c>
      <c r="AM275" s="555">
        <f t="shared" si="466"/>
        <v>118</v>
      </c>
      <c r="AN275" s="469">
        <f t="shared" si="467"/>
        <v>350</v>
      </c>
      <c r="AP275">
        <f t="shared" si="468"/>
        <v>118</v>
      </c>
      <c r="AQ275">
        <f t="shared" si="469"/>
        <v>350</v>
      </c>
      <c r="AS275" s="5">
        <f t="shared" si="479"/>
        <v>2.8571428571428572</v>
      </c>
      <c r="AT275" s="5">
        <f t="shared" si="470"/>
        <v>0.37853099514533051</v>
      </c>
      <c r="AU275" s="5">
        <f t="shared" si="440"/>
        <v>2.4786118619975266</v>
      </c>
      <c r="AV275" s="5"/>
      <c r="AW275" s="177">
        <f t="shared" si="441"/>
        <v>0.13248584830086568</v>
      </c>
      <c r="AX275" s="177"/>
      <c r="BA275" s="469">
        <f t="shared" si="471"/>
        <v>5.4827721650935404</v>
      </c>
      <c r="BB275" s="469">
        <f t="shared" si="472"/>
        <v>0.65295408166666657</v>
      </c>
      <c r="BC275" s="5">
        <f t="shared" si="442"/>
        <v>6.7702824008265758E-2</v>
      </c>
      <c r="BD275" s="469">
        <f t="shared" si="473"/>
        <v>0</v>
      </c>
      <c r="BQ275" s="538">
        <f t="shared" si="474"/>
        <v>4.5075999999999998E-2</v>
      </c>
      <c r="CG275" s="571">
        <f t="shared" si="475"/>
        <v>-50</v>
      </c>
      <c r="CH275">
        <f t="shared" si="476"/>
        <v>-50</v>
      </c>
    </row>
    <row r="276" spans="5:86" x14ac:dyDescent="0.25">
      <c r="E276" s="174">
        <v>60</v>
      </c>
      <c r="F276" s="221">
        <f t="shared" si="477"/>
        <v>0.12</v>
      </c>
      <c r="G276" s="221"/>
      <c r="H276" s="221">
        <f t="shared" si="443"/>
        <v>1.92</v>
      </c>
      <c r="I276" s="551">
        <f t="shared" si="444"/>
        <v>48</v>
      </c>
      <c r="J276" s="451">
        <f t="shared" si="445"/>
        <v>19.584</v>
      </c>
      <c r="K276" s="451">
        <f t="shared" si="446"/>
        <v>67.584000000000003</v>
      </c>
      <c r="L276" s="451"/>
      <c r="M276" s="221">
        <f t="shared" si="447"/>
        <v>0.28977272727272724</v>
      </c>
      <c r="N276" s="176">
        <f t="shared" si="448"/>
        <v>9.6890727272727268</v>
      </c>
      <c r="O276" s="176">
        <f t="shared" si="478"/>
        <v>1.92</v>
      </c>
      <c r="P276" s="221">
        <f t="shared" si="449"/>
        <v>0.60556704545454543</v>
      </c>
      <c r="Q276" s="221">
        <f t="shared" si="450"/>
        <v>16</v>
      </c>
      <c r="R276" s="221"/>
      <c r="S276" s="176">
        <f t="shared" si="451"/>
        <v>230.05556144896397</v>
      </c>
      <c r="T276" s="176">
        <f t="shared" si="452"/>
        <v>16</v>
      </c>
      <c r="U276" s="221">
        <f t="shared" si="453"/>
        <v>0.30675381263616558</v>
      </c>
      <c r="V276" s="221">
        <f t="shared" si="454"/>
        <v>0.19172113289760348</v>
      </c>
      <c r="W276" s="221">
        <f t="shared" si="455"/>
        <v>0.4699047374941262</v>
      </c>
      <c r="X276" s="201">
        <f t="shared" si="456"/>
        <v>350</v>
      </c>
      <c r="Y276" s="451">
        <f t="shared" ref="Y276:Y316" si="480">MIN(1/(V276+W276)*1000, 350)</f>
        <v>350</v>
      </c>
      <c r="AA276" s="221">
        <f t="shared" si="457"/>
        <v>1.3246753246753247</v>
      </c>
      <c r="AB276" s="177">
        <f t="shared" si="458"/>
        <v>2.029220779220779</v>
      </c>
      <c r="AC276" s="177">
        <f t="shared" si="459"/>
        <v>0.5644923258559621</v>
      </c>
      <c r="AD276" s="177"/>
      <c r="AE276" s="177">
        <f t="shared" si="460"/>
        <v>0.4595588235294118</v>
      </c>
      <c r="AF276" s="555">
        <f t="shared" si="461"/>
        <v>1450.6666666666667</v>
      </c>
      <c r="AG276" s="538">
        <f t="shared" si="462"/>
        <v>2.8952205882352939E-2</v>
      </c>
      <c r="AI276" s="177">
        <f t="shared" si="463"/>
        <v>0.6107606498691377</v>
      </c>
      <c r="AJ276" s="177">
        <f t="shared" si="464"/>
        <v>0.6107606498691377</v>
      </c>
      <c r="AK276" s="177">
        <f t="shared" si="465"/>
        <v>1.4071737665794251</v>
      </c>
      <c r="AM276" s="555">
        <f t="shared" si="466"/>
        <v>120</v>
      </c>
      <c r="AN276" s="469">
        <f t="shared" si="467"/>
        <v>350</v>
      </c>
      <c r="AP276">
        <f t="shared" si="468"/>
        <v>120</v>
      </c>
      <c r="AQ276">
        <f t="shared" si="469"/>
        <v>350</v>
      </c>
      <c r="AS276" s="5">
        <f t="shared" si="479"/>
        <v>2.8571428571428572</v>
      </c>
      <c r="AT276" s="5">
        <f t="shared" si="470"/>
        <v>0.3817254061682111</v>
      </c>
      <c r="AU276" s="5">
        <f t="shared" si="440"/>
        <v>2.4754174509746463</v>
      </c>
      <c r="AV276" s="5"/>
      <c r="AW276" s="177">
        <f t="shared" si="441"/>
        <v>0.13360389215887389</v>
      </c>
      <c r="AX276" s="177"/>
      <c r="BA276" s="469">
        <f t="shared" si="471"/>
        <v>5.4827721650935404</v>
      </c>
      <c r="BB276" s="469">
        <f t="shared" si="472"/>
        <v>0.66917400000000005</v>
      </c>
      <c r="BC276" s="5">
        <f t="shared" si="442"/>
        <v>6.8761595860406838E-2</v>
      </c>
      <c r="BD276" s="469">
        <f t="shared" si="473"/>
        <v>0</v>
      </c>
      <c r="BQ276" s="538">
        <f t="shared" si="474"/>
        <v>4.5839999999999999E-2</v>
      </c>
      <c r="CG276" s="571">
        <f t="shared" si="475"/>
        <v>-50</v>
      </c>
      <c r="CH276">
        <f t="shared" si="476"/>
        <v>-50</v>
      </c>
    </row>
    <row r="277" spans="5:86" x14ac:dyDescent="0.25">
      <c r="E277" s="174">
        <v>61</v>
      </c>
      <c r="F277" s="221">
        <f t="shared" si="477"/>
        <v>0.122</v>
      </c>
      <c r="G277" s="221"/>
      <c r="H277" s="221">
        <f t="shared" si="443"/>
        <v>1.952</v>
      </c>
      <c r="I277" s="551">
        <f t="shared" si="444"/>
        <v>48</v>
      </c>
      <c r="J277" s="451">
        <f t="shared" si="445"/>
        <v>19.584</v>
      </c>
      <c r="K277" s="451">
        <f t="shared" si="446"/>
        <v>67.584000000000003</v>
      </c>
      <c r="L277" s="451"/>
      <c r="M277" s="221">
        <f t="shared" si="447"/>
        <v>0.28977272727272724</v>
      </c>
      <c r="N277" s="176">
        <f t="shared" si="448"/>
        <v>9.6890727272727268</v>
      </c>
      <c r="O277" s="176">
        <f t="shared" si="478"/>
        <v>1.952</v>
      </c>
      <c r="P277" s="221">
        <f t="shared" si="449"/>
        <v>0.60556704545454543</v>
      </c>
      <c r="Q277" s="221">
        <f t="shared" si="450"/>
        <v>16</v>
      </c>
      <c r="R277" s="221"/>
      <c r="S277" s="176">
        <f t="shared" si="451"/>
        <v>225.63042008774133</v>
      </c>
      <c r="T277" s="176">
        <f t="shared" si="452"/>
        <v>16</v>
      </c>
      <c r="U277" s="221">
        <f t="shared" si="453"/>
        <v>0.31186637618010166</v>
      </c>
      <c r="V277" s="221">
        <f t="shared" si="454"/>
        <v>0.19491648511256351</v>
      </c>
      <c r="W277" s="221">
        <f t="shared" si="455"/>
        <v>0.47773648311902822</v>
      </c>
      <c r="X277" s="201">
        <f t="shared" si="456"/>
        <v>350</v>
      </c>
      <c r="Y277" s="451">
        <f t="shared" si="480"/>
        <v>350</v>
      </c>
      <c r="AA277" s="221">
        <f t="shared" si="457"/>
        <v>1.3246753246753247</v>
      </c>
      <c r="AB277" s="177">
        <f t="shared" si="458"/>
        <v>2.029220779220779</v>
      </c>
      <c r="AC277" s="177">
        <f t="shared" si="459"/>
        <v>0.5644923258559621</v>
      </c>
      <c r="AD277" s="177"/>
      <c r="AE277" s="177">
        <f t="shared" si="460"/>
        <v>0.4595588235294118</v>
      </c>
      <c r="AF277" s="555">
        <f t="shared" si="461"/>
        <v>1474.8444444444444</v>
      </c>
      <c r="AG277" s="538">
        <f t="shared" si="462"/>
        <v>2.8952205882352939E-2</v>
      </c>
      <c r="AI277" s="177">
        <f t="shared" si="463"/>
        <v>0.61582928988942565</v>
      </c>
      <c r="AJ277" s="177">
        <f t="shared" si="464"/>
        <v>0.61582928988942565</v>
      </c>
      <c r="AK277" s="177">
        <f t="shared" si="465"/>
        <v>1.4105528599262838</v>
      </c>
      <c r="AM277" s="555">
        <f t="shared" si="466"/>
        <v>122</v>
      </c>
      <c r="AN277" s="469">
        <f t="shared" si="467"/>
        <v>350</v>
      </c>
      <c r="AP277">
        <f t="shared" si="468"/>
        <v>122</v>
      </c>
      <c r="AQ277">
        <f t="shared" si="469"/>
        <v>350</v>
      </c>
      <c r="AS277" s="5">
        <f t="shared" si="479"/>
        <v>2.8571428571428572</v>
      </c>
      <c r="AT277" s="5">
        <f t="shared" si="470"/>
        <v>0.38489330618089107</v>
      </c>
      <c r="AU277" s="5">
        <f t="shared" si="440"/>
        <v>2.472249550961966</v>
      </c>
      <c r="AV277" s="5"/>
      <c r="AW277" s="177">
        <f t="shared" si="441"/>
        <v>0.13471265716331188</v>
      </c>
      <c r="AX277" s="177"/>
      <c r="BA277" s="469">
        <f t="shared" si="471"/>
        <v>5.4827721650935404</v>
      </c>
      <c r="BB277" s="469">
        <f t="shared" si="472"/>
        <v>0.68556568166666665</v>
      </c>
      <c r="BC277" s="5">
        <f t="shared" si="442"/>
        <v>6.9818158615129577E-2</v>
      </c>
      <c r="BD277" s="469">
        <f t="shared" si="473"/>
        <v>0</v>
      </c>
      <c r="BQ277" s="538">
        <f t="shared" si="474"/>
        <v>4.6604E-2</v>
      </c>
      <c r="CG277" s="571">
        <f t="shared" si="475"/>
        <v>-50</v>
      </c>
      <c r="CH277">
        <f t="shared" si="476"/>
        <v>-50</v>
      </c>
    </row>
    <row r="278" spans="5:86" x14ac:dyDescent="0.25">
      <c r="E278" s="174">
        <v>62</v>
      </c>
      <c r="F278" s="221">
        <f t="shared" si="477"/>
        <v>0.124</v>
      </c>
      <c r="G278" s="221"/>
      <c r="H278" s="221">
        <f t="shared" si="443"/>
        <v>1.984</v>
      </c>
      <c r="I278" s="551">
        <f t="shared" si="444"/>
        <v>48</v>
      </c>
      <c r="J278" s="451">
        <f t="shared" si="445"/>
        <v>19.584</v>
      </c>
      <c r="K278" s="451">
        <f t="shared" si="446"/>
        <v>67.584000000000003</v>
      </c>
      <c r="L278" s="451"/>
      <c r="M278" s="221">
        <f t="shared" si="447"/>
        <v>0.28977272727272724</v>
      </c>
      <c r="N278" s="176">
        <f t="shared" si="448"/>
        <v>9.6890727272727268</v>
      </c>
      <c r="O278" s="176">
        <f t="shared" si="478"/>
        <v>1.984</v>
      </c>
      <c r="P278" s="221">
        <f t="shared" si="449"/>
        <v>0.60556704545454543</v>
      </c>
      <c r="Q278" s="221">
        <f t="shared" si="450"/>
        <v>16</v>
      </c>
      <c r="R278" s="221"/>
      <c r="S278" s="176">
        <f t="shared" si="451"/>
        <v>221.34806657687187</v>
      </c>
      <c r="T278" s="176">
        <f t="shared" si="452"/>
        <v>16</v>
      </c>
      <c r="U278" s="221">
        <f t="shared" si="453"/>
        <v>0.31697893972403779</v>
      </c>
      <c r="V278" s="221">
        <f t="shared" si="454"/>
        <v>0.1981118373275236</v>
      </c>
      <c r="W278" s="221">
        <f t="shared" si="455"/>
        <v>0.48556822874393041</v>
      </c>
      <c r="X278" s="201">
        <f t="shared" si="456"/>
        <v>350</v>
      </c>
      <c r="Y278" s="451">
        <f t="shared" si="480"/>
        <v>350</v>
      </c>
      <c r="AA278" s="221">
        <f t="shared" si="457"/>
        <v>1.3246753246753247</v>
      </c>
      <c r="AB278" s="177">
        <f t="shared" si="458"/>
        <v>2.029220779220779</v>
      </c>
      <c r="AC278" s="177">
        <f t="shared" si="459"/>
        <v>0.5644923258559621</v>
      </c>
      <c r="AD278" s="177"/>
      <c r="AE278" s="177">
        <f t="shared" si="460"/>
        <v>0.4595588235294118</v>
      </c>
      <c r="AF278" s="555">
        <f t="shared" si="461"/>
        <v>1499.0222222222224</v>
      </c>
      <c r="AG278" s="538">
        <f t="shared" si="462"/>
        <v>2.8952205882352939E-2</v>
      </c>
      <c r="AI278" s="177">
        <f t="shared" si="463"/>
        <v>0.62085655117978511</v>
      </c>
      <c r="AJ278" s="177">
        <f t="shared" si="464"/>
        <v>0.62085655117978511</v>
      </c>
      <c r="AK278" s="177">
        <f t="shared" si="465"/>
        <v>1.4139043674531901</v>
      </c>
      <c r="AM278" s="555">
        <f t="shared" si="466"/>
        <v>124</v>
      </c>
      <c r="AN278" s="469">
        <f t="shared" si="467"/>
        <v>350</v>
      </c>
      <c r="AP278">
        <f t="shared" si="468"/>
        <v>124</v>
      </c>
      <c r="AQ278">
        <f t="shared" si="469"/>
        <v>350</v>
      </c>
      <c r="AS278" s="5">
        <f t="shared" si="479"/>
        <v>2.8571428571428572</v>
      </c>
      <c r="AT278" s="5">
        <f t="shared" si="470"/>
        <v>0.38803534448736571</v>
      </c>
      <c r="AU278" s="5">
        <f t="shared" si="440"/>
        <v>2.4691075126554916</v>
      </c>
      <c r="AV278" s="5"/>
      <c r="AW278" s="177">
        <f t="shared" si="441"/>
        <v>0.13581237057057799</v>
      </c>
      <c r="AX278" s="177"/>
      <c r="BA278" s="469">
        <f t="shared" si="471"/>
        <v>5.4827721650935404</v>
      </c>
      <c r="BB278" s="469">
        <f t="shared" si="472"/>
        <v>0.70212912666666671</v>
      </c>
      <c r="BC278" s="5">
        <f t="shared" si="442"/>
        <v>7.0872530455852067E-2</v>
      </c>
      <c r="BD278" s="469">
        <f t="shared" si="473"/>
        <v>0</v>
      </c>
      <c r="BQ278" s="538">
        <f t="shared" si="474"/>
        <v>4.7368E-2</v>
      </c>
      <c r="CG278" s="571">
        <f t="shared" si="475"/>
        <v>-50</v>
      </c>
      <c r="CH278">
        <f t="shared" si="476"/>
        <v>-50</v>
      </c>
    </row>
    <row r="279" spans="5:86" x14ac:dyDescent="0.25">
      <c r="E279" s="174">
        <v>63</v>
      </c>
      <c r="F279" s="221">
        <f t="shared" si="477"/>
        <v>0.126</v>
      </c>
      <c r="G279" s="221"/>
      <c r="H279" s="221">
        <f t="shared" si="443"/>
        <v>2.016</v>
      </c>
      <c r="I279" s="551">
        <f t="shared" si="444"/>
        <v>48</v>
      </c>
      <c r="J279" s="451">
        <f t="shared" si="445"/>
        <v>19.584</v>
      </c>
      <c r="K279" s="451">
        <f t="shared" si="446"/>
        <v>67.584000000000003</v>
      </c>
      <c r="L279" s="451"/>
      <c r="M279" s="221">
        <f t="shared" si="447"/>
        <v>0.28977272727272724</v>
      </c>
      <c r="N279" s="176">
        <f t="shared" si="448"/>
        <v>9.6890727272727268</v>
      </c>
      <c r="O279" s="176">
        <f t="shared" si="478"/>
        <v>2.016</v>
      </c>
      <c r="P279" s="221">
        <f t="shared" si="449"/>
        <v>0.60556704545454543</v>
      </c>
      <c r="Q279" s="221">
        <f t="shared" si="450"/>
        <v>16</v>
      </c>
      <c r="R279" s="221"/>
      <c r="S279" s="176">
        <f t="shared" si="451"/>
        <v>217.20170184612752</v>
      </c>
      <c r="T279" s="176">
        <f t="shared" si="452"/>
        <v>16</v>
      </c>
      <c r="U279" s="221">
        <f t="shared" si="453"/>
        <v>0.32209150326797387</v>
      </c>
      <c r="V279" s="221">
        <f t="shared" si="454"/>
        <v>0.20130718954248367</v>
      </c>
      <c r="W279" s="221">
        <f t="shared" si="455"/>
        <v>0.49339997436883259</v>
      </c>
      <c r="X279" s="201">
        <f t="shared" si="456"/>
        <v>350</v>
      </c>
      <c r="Y279" s="451">
        <f t="shared" si="480"/>
        <v>350</v>
      </c>
      <c r="AA279" s="221">
        <f t="shared" si="457"/>
        <v>1.3246753246753247</v>
      </c>
      <c r="AB279" s="177">
        <f t="shared" si="458"/>
        <v>2.029220779220779</v>
      </c>
      <c r="AC279" s="177">
        <f t="shared" si="459"/>
        <v>0.5644923258559621</v>
      </c>
      <c r="AD279" s="177"/>
      <c r="AE279" s="177">
        <f t="shared" si="460"/>
        <v>0.4595588235294118</v>
      </c>
      <c r="AF279" s="555">
        <f t="shared" si="461"/>
        <v>1523.2000000000003</v>
      </c>
      <c r="AG279" s="538">
        <f t="shared" si="462"/>
        <v>2.8952205882352939E-2</v>
      </c>
      <c r="AI279" s="177">
        <f t="shared" si="463"/>
        <v>0.62584343089945427</v>
      </c>
      <c r="AJ279" s="177">
        <f t="shared" si="464"/>
        <v>0.62584343089945427</v>
      </c>
      <c r="AK279" s="177">
        <f t="shared" si="465"/>
        <v>1.4172289539329694</v>
      </c>
      <c r="AM279" s="555">
        <f t="shared" si="466"/>
        <v>126</v>
      </c>
      <c r="AN279" s="469">
        <f t="shared" si="467"/>
        <v>350</v>
      </c>
      <c r="AP279">
        <f t="shared" si="468"/>
        <v>126</v>
      </c>
      <c r="AQ279">
        <f t="shared" si="469"/>
        <v>350</v>
      </c>
      <c r="AS279" s="5">
        <f t="shared" si="479"/>
        <v>2.8571428571428572</v>
      </c>
      <c r="AT279" s="5">
        <f t="shared" si="470"/>
        <v>0.39115214431215894</v>
      </c>
      <c r="AU279" s="5">
        <f t="shared" si="440"/>
        <v>2.4659907128306982</v>
      </c>
      <c r="AV279" s="5"/>
      <c r="AW279" s="177">
        <f t="shared" si="441"/>
        <v>0.13690325050925561</v>
      </c>
      <c r="AX279" s="177"/>
      <c r="BA279" s="469">
        <f t="shared" si="471"/>
        <v>5.4827721650935404</v>
      </c>
      <c r="BB279" s="469">
        <f t="shared" si="472"/>
        <v>0.71886433500000013</v>
      </c>
      <c r="BC279" s="5">
        <f t="shared" si="442"/>
        <v>7.192472912422869E-2</v>
      </c>
      <c r="BD279" s="469">
        <f t="shared" si="473"/>
        <v>0</v>
      </c>
      <c r="BQ279" s="538">
        <f t="shared" si="474"/>
        <v>4.8132000000000001E-2</v>
      </c>
      <c r="CG279" s="571">
        <f t="shared" si="475"/>
        <v>-50</v>
      </c>
      <c r="CH279">
        <f t="shared" si="476"/>
        <v>-50</v>
      </c>
    </row>
    <row r="280" spans="5:86" x14ac:dyDescent="0.25">
      <c r="E280" s="174">
        <v>64</v>
      </c>
      <c r="F280" s="221">
        <f t="shared" si="477"/>
        <v>0.128</v>
      </c>
      <c r="G280" s="221"/>
      <c r="H280" s="221">
        <f t="shared" ref="H280:H311" si="481">F280*Vout</f>
        <v>2.048</v>
      </c>
      <c r="I280" s="551">
        <f t="shared" ref="I280:I316" si="482">VIN_max</f>
        <v>48</v>
      </c>
      <c r="J280" s="451">
        <f t="shared" ref="J280:J316" si="483">(T280+Vfwd1)*Nps</f>
        <v>19.584</v>
      </c>
      <c r="K280" s="451">
        <f t="shared" ref="K280:K316" si="484">(Vout+Vfwd1)*Nps+I280</f>
        <v>67.584000000000003</v>
      </c>
      <c r="L280" s="451"/>
      <c r="M280" s="221">
        <f t="shared" ref="M280:M316" si="485">(Vout+Vfwd1)*Nps/((Vout+Vfwd1)*Nps+I280)</f>
        <v>0.28977272727272724</v>
      </c>
      <c r="N280" s="176">
        <f t="shared" ref="N280:N311" si="486">M280*I280*(Isw_max+VIN_max/Lmag*ILIM_delay)*0.5*Efficiency</f>
        <v>9.6890727272727268</v>
      </c>
      <c r="O280" s="176">
        <f t="shared" si="478"/>
        <v>2.048</v>
      </c>
      <c r="P280" s="221">
        <f t="shared" ref="P280:P311" si="487">N280/Vout</f>
        <v>0.60556704545454543</v>
      </c>
      <c r="Q280" s="221">
        <f t="shared" ref="Q280:Q316" si="488">MIN(Vout,N280/F280)</f>
        <v>16</v>
      </c>
      <c r="R280" s="221"/>
      <c r="S280" s="176">
        <f t="shared" ref="S280:S316" si="489">(SQRT(Isw_max^2*Nps^2*I280^2+4*Isw_max*F280/Efficiency*(Nps^2*Vfwd1*I280-Nps*I280^2)+4*(F280/Efficiency)^2*Nps^2*Vfwd1^2+8*(F280/Efficiency)^2*Nps*Vfwd1*I280+4*(F280/Efficiency)^2*I280^2)-2*F280/Efficiency*I280-2*F280/Efficiency*Nps*Vfwd1+Isw_max*Nps*I280)/(4*F280/Efficiency*Nps)</f>
        <v>213.18495177111265</v>
      </c>
      <c r="T280" s="176">
        <f t="shared" ref="T280:T311" si="490">MIN(Vout, S280)</f>
        <v>16</v>
      </c>
      <c r="U280" s="221">
        <f t="shared" ref="U280:U316" si="491">MIN(2*Vout*F280/(Efficiency*I280*M280), Isw_max)</f>
        <v>0.32720406681190994</v>
      </c>
      <c r="V280" s="221">
        <f t="shared" ref="V280:V311" si="492">L*U280/I280*1000000</f>
        <v>0.20450254175744376</v>
      </c>
      <c r="W280" s="221">
        <f t="shared" ref="W280:W316" si="493">L*U280/J280*1000000</f>
        <v>0.50123171999373461</v>
      </c>
      <c r="X280" s="201">
        <f t="shared" ref="X280:X316" si="494">IF(1/((350000*L)*(1/I280+1/J280))&gt;Isw_min, 350, 0.001/((Isw_min*L)*(1/I280+1/J280)))</f>
        <v>350</v>
      </c>
      <c r="Y280" s="451">
        <f t="shared" si="480"/>
        <v>350</v>
      </c>
      <c r="AA280" s="221">
        <f t="shared" ref="AA280:AA316" si="495">1/((X280*1000*L)*(1/I280+1/J280))</f>
        <v>1.3246753246753247</v>
      </c>
      <c r="AB280" s="177">
        <f t="shared" ref="AB280:AB311" si="496">L*AA280/J280*1000000</f>
        <v>2.029220779220779</v>
      </c>
      <c r="AC280" s="177">
        <f t="shared" ref="AC280:AC311" si="497">0.5*AB280*AA280*Nps*X280/1000</f>
        <v>0.5644923258559621</v>
      </c>
      <c r="AD280" s="177"/>
      <c r="AE280" s="177">
        <f t="shared" ref="AE280:AE316" si="498">L*Isw_min/J280*1000000</f>
        <v>0.4595588235294118</v>
      </c>
      <c r="AF280" s="555">
        <f t="shared" ref="AF280:AF311" si="499">MAX(12000,F280/(0.5*AE280/1000000*Isw_min*Nps))/1000</f>
        <v>1547.377777777778</v>
      </c>
      <c r="AG280" s="538">
        <f t="shared" ref="AG280:AG316" si="500">0.5*AE280/1000000*Isw_min*Nps*X280*1000</f>
        <v>2.8952205882352939E-2</v>
      </c>
      <c r="AI280" s="177">
        <f t="shared" ref="AI280:AI316" si="501">SQRT(F280/(0.5*L/J280*Fsw_DCM*Nps))</f>
        <v>0.63079088678986384</v>
      </c>
      <c r="AJ280" s="177">
        <f t="shared" ref="AJ280:AJ311" si="502">MAX(IF(F280&gt;AC280,U280,AI280),Isw_min)</f>
        <v>0.63079088678986384</v>
      </c>
      <c r="AK280" s="177">
        <f t="shared" ref="AK280:AK311" si="503">IF(F280&gt;AG280, (AJ280-Isw_min)/1.2*0.8+1.2, AF280*0.2/350+1)</f>
        <v>1.4205272578599093</v>
      </c>
      <c r="AM280" s="555">
        <f t="shared" ref="AM280:AM316" si="504">F280*1000</f>
        <v>128</v>
      </c>
      <c r="AN280" s="469">
        <f t="shared" ref="AN280:AN316" si="505">IF(F280&gt;AG280, Y280, AF280)</f>
        <v>350</v>
      </c>
      <c r="AP280">
        <f t="shared" ref="AP280:AP316" si="506">IF(H280&gt;N280, "",AM280)</f>
        <v>128</v>
      </c>
      <c r="AQ280">
        <f t="shared" ref="AQ280:AQ316" si="507">IF(H280&gt;N280, "",AN280)</f>
        <v>350</v>
      </c>
      <c r="AS280" s="5">
        <f t="shared" si="479"/>
        <v>2.8571428571428572</v>
      </c>
      <c r="AT280" s="5">
        <f t="shared" ref="AT280:AT316" si="508">L*AJ280/I280*1000000</f>
        <v>0.39424430424366491</v>
      </c>
      <c r="AU280" s="5">
        <f t="shared" si="440"/>
        <v>2.4628985528991922</v>
      </c>
      <c r="AV280" s="5"/>
      <c r="AW280" s="177">
        <f t="shared" si="441"/>
        <v>0.13798550648528271</v>
      </c>
      <c r="AX280" s="177"/>
      <c r="BA280" s="469">
        <f t="shared" ref="BA280:BA316" si="509">L*Isw_max^2/(2*Vout_ripple*Vout)*1000000000*((1+M280)/2)^2</f>
        <v>5.4827721650935404</v>
      </c>
      <c r="BB280" s="469">
        <f t="shared" ref="BB280:BB316" si="510">L*F280^2/(2*Cout*Vout*Nps^2)*1000000000*((1+M280)/(1-M280))^2+F280*RCoutEsr</f>
        <v>0.73577130666666668</v>
      </c>
      <c r="BC280" s="5">
        <f t="shared" si="442"/>
        <v>7.2974771937753841E-2</v>
      </c>
      <c r="BD280" s="469">
        <f t="shared" ref="BD280:BD316" si="511">((CB280/I280/Efficiency)*AU280/Cin+(CB280/I280/Efficiency)*RCinEsr)*1000</f>
        <v>0</v>
      </c>
      <c r="BQ280" s="538">
        <f t="shared" ref="BQ280:BQ316" si="512">(Vfwd2*F280+BG280^2*Rdiode)*(1+Diode_TC/1000*(Ta-25))</f>
        <v>4.8896000000000002E-2</v>
      </c>
      <c r="CG280" s="571">
        <f t="shared" ref="CG280:CG316" si="513">IF(ABS(F280-Ioutmax_Vinmax)&lt;Iout/200, AN280, -50)</f>
        <v>-50</v>
      </c>
      <c r="CH280">
        <f t="shared" ref="CH280:CH316" si="514">IF(ABS(F280-Ioutmax_Vinmin)&lt;Iout/200, N280*CC280, -50)</f>
        <v>-50</v>
      </c>
    </row>
    <row r="281" spans="5:86" x14ac:dyDescent="0.25">
      <c r="E281" s="174">
        <v>65</v>
      </c>
      <c r="F281" s="221">
        <f t="shared" ref="F281:F312" si="515">IF(PLOT_TYPE=1, E281/100*Iout_max, min_I*EXP(N281*rr/100))</f>
        <v>0.13</v>
      </c>
      <c r="G281" s="221"/>
      <c r="H281" s="221">
        <f t="shared" si="481"/>
        <v>2.08</v>
      </c>
      <c r="I281" s="551">
        <f t="shared" si="482"/>
        <v>48</v>
      </c>
      <c r="J281" s="451">
        <f t="shared" si="483"/>
        <v>19.584</v>
      </c>
      <c r="K281" s="451">
        <f t="shared" si="484"/>
        <v>67.584000000000003</v>
      </c>
      <c r="L281" s="451"/>
      <c r="M281" s="221">
        <f t="shared" si="485"/>
        <v>0.28977272727272724</v>
      </c>
      <c r="N281" s="176">
        <f t="shared" si="486"/>
        <v>9.6890727272727268</v>
      </c>
      <c r="O281" s="176">
        <f t="shared" si="478"/>
        <v>2.08</v>
      </c>
      <c r="P281" s="221">
        <f t="shared" si="487"/>
        <v>0.60556704545454543</v>
      </c>
      <c r="Q281" s="221">
        <f t="shared" si="488"/>
        <v>16</v>
      </c>
      <c r="R281" s="221"/>
      <c r="S281" s="176">
        <f t="shared" si="489"/>
        <v>209.29183448517833</v>
      </c>
      <c r="T281" s="176">
        <f t="shared" si="490"/>
        <v>16</v>
      </c>
      <c r="U281" s="221">
        <f t="shared" si="491"/>
        <v>0.33231663035584608</v>
      </c>
      <c r="V281" s="221">
        <f t="shared" si="492"/>
        <v>0.20769789397240379</v>
      </c>
      <c r="W281" s="221">
        <f t="shared" si="493"/>
        <v>0.5090634656186368</v>
      </c>
      <c r="X281" s="201">
        <f t="shared" si="494"/>
        <v>350</v>
      </c>
      <c r="Y281" s="451">
        <f t="shared" si="480"/>
        <v>350</v>
      </c>
      <c r="AA281" s="221">
        <f t="shared" si="495"/>
        <v>1.3246753246753247</v>
      </c>
      <c r="AB281" s="177">
        <f t="shared" si="496"/>
        <v>2.029220779220779</v>
      </c>
      <c r="AC281" s="177">
        <f t="shared" si="497"/>
        <v>0.5644923258559621</v>
      </c>
      <c r="AD281" s="177"/>
      <c r="AE281" s="177">
        <f t="shared" si="498"/>
        <v>0.4595588235294118</v>
      </c>
      <c r="AF281" s="555">
        <f t="shared" si="499"/>
        <v>1571.5555555555557</v>
      </c>
      <c r="AG281" s="538">
        <f t="shared" si="500"/>
        <v>2.8952205882352939E-2</v>
      </c>
      <c r="AI281" s="177">
        <f t="shared" si="501"/>
        <v>0.63569983932221164</v>
      </c>
      <c r="AJ281" s="177">
        <f t="shared" si="502"/>
        <v>0.63569983932221164</v>
      </c>
      <c r="AK281" s="177">
        <f t="shared" si="503"/>
        <v>1.4237998928814743</v>
      </c>
      <c r="AM281" s="555">
        <f t="shared" si="504"/>
        <v>130</v>
      </c>
      <c r="AN281" s="469">
        <f t="shared" si="505"/>
        <v>350</v>
      </c>
      <c r="AP281">
        <f t="shared" si="506"/>
        <v>130</v>
      </c>
      <c r="AQ281">
        <f t="shared" si="507"/>
        <v>350</v>
      </c>
      <c r="AS281" s="5">
        <f t="shared" si="479"/>
        <v>2.8571428571428572</v>
      </c>
      <c r="AT281" s="5">
        <f t="shared" si="508"/>
        <v>0.39731239957638231</v>
      </c>
      <c r="AU281" s="5">
        <f t="shared" si="440"/>
        <v>2.4598304575664747</v>
      </c>
      <c r="AV281" s="5"/>
      <c r="AW281" s="177">
        <f t="shared" si="441"/>
        <v>0.1390593398517338</v>
      </c>
      <c r="AX281" s="177"/>
      <c r="BA281" s="469">
        <f t="shared" si="509"/>
        <v>5.4827721650935404</v>
      </c>
      <c r="BB281" s="469">
        <f t="shared" si="510"/>
        <v>0.7528500416666668</v>
      </c>
      <c r="BC281" s="5">
        <f t="shared" si="442"/>
        <v>7.4022675806398555E-2</v>
      </c>
      <c r="BD281" s="469">
        <f t="shared" si="511"/>
        <v>0</v>
      </c>
      <c r="BQ281" s="538">
        <f t="shared" si="512"/>
        <v>4.9660000000000003E-2</v>
      </c>
      <c r="CG281" s="571">
        <f t="shared" si="513"/>
        <v>-50</v>
      </c>
      <c r="CH281">
        <f t="shared" si="514"/>
        <v>-50</v>
      </c>
    </row>
    <row r="282" spans="5:86" x14ac:dyDescent="0.25">
      <c r="E282" s="174">
        <v>66</v>
      </c>
      <c r="F282" s="221">
        <f t="shared" si="515"/>
        <v>0.13200000000000001</v>
      </c>
      <c r="G282" s="221"/>
      <c r="H282" s="221">
        <f t="shared" si="481"/>
        <v>2.1120000000000001</v>
      </c>
      <c r="I282" s="551">
        <f t="shared" si="482"/>
        <v>48</v>
      </c>
      <c r="J282" s="451">
        <f t="shared" si="483"/>
        <v>19.584</v>
      </c>
      <c r="K282" s="451">
        <f t="shared" si="484"/>
        <v>67.584000000000003</v>
      </c>
      <c r="L282" s="451"/>
      <c r="M282" s="221">
        <f t="shared" si="485"/>
        <v>0.28977272727272724</v>
      </c>
      <c r="N282" s="176">
        <f t="shared" si="486"/>
        <v>9.6890727272727268</v>
      </c>
      <c r="O282" s="176">
        <f t="shared" si="478"/>
        <v>2.1120000000000001</v>
      </c>
      <c r="P282" s="221">
        <f t="shared" si="487"/>
        <v>0.60556704545454543</v>
      </c>
      <c r="Q282" s="221">
        <f t="shared" si="488"/>
        <v>16</v>
      </c>
      <c r="R282" s="221"/>
      <c r="S282" s="176">
        <f t="shared" si="489"/>
        <v>205.51673066298113</v>
      </c>
      <c r="T282" s="176">
        <f t="shared" si="490"/>
        <v>16</v>
      </c>
      <c r="U282" s="221">
        <f t="shared" si="491"/>
        <v>0.33742919389978215</v>
      </c>
      <c r="V282" s="221">
        <f t="shared" si="492"/>
        <v>0.21089324618736385</v>
      </c>
      <c r="W282" s="221">
        <f t="shared" si="493"/>
        <v>0.51689521124353888</v>
      </c>
      <c r="X282" s="201">
        <f t="shared" si="494"/>
        <v>350</v>
      </c>
      <c r="Y282" s="451">
        <f t="shared" si="480"/>
        <v>350</v>
      </c>
      <c r="AA282" s="221">
        <f t="shared" si="495"/>
        <v>1.3246753246753247</v>
      </c>
      <c r="AB282" s="177">
        <f t="shared" si="496"/>
        <v>2.029220779220779</v>
      </c>
      <c r="AC282" s="177">
        <f t="shared" si="497"/>
        <v>0.5644923258559621</v>
      </c>
      <c r="AD282" s="177"/>
      <c r="AE282" s="177">
        <f t="shared" si="498"/>
        <v>0.4595588235294118</v>
      </c>
      <c r="AF282" s="555">
        <f t="shared" si="499"/>
        <v>1595.7333333333336</v>
      </c>
      <c r="AG282" s="538">
        <f t="shared" si="500"/>
        <v>2.8952205882352939E-2</v>
      </c>
      <c r="AI282" s="177">
        <f t="shared" si="501"/>
        <v>0.64057117369690353</v>
      </c>
      <c r="AJ282" s="177">
        <f t="shared" si="502"/>
        <v>0.64057117369690353</v>
      </c>
      <c r="AK282" s="177">
        <f t="shared" si="503"/>
        <v>1.427047449131269</v>
      </c>
      <c r="AM282" s="555">
        <f t="shared" si="504"/>
        <v>132</v>
      </c>
      <c r="AN282" s="469">
        <f t="shared" si="505"/>
        <v>350</v>
      </c>
      <c r="AP282">
        <f t="shared" si="506"/>
        <v>132</v>
      </c>
      <c r="AQ282">
        <f t="shared" si="507"/>
        <v>350</v>
      </c>
      <c r="AS282" s="5">
        <f t="shared" si="479"/>
        <v>2.8571428571428572</v>
      </c>
      <c r="AT282" s="5">
        <f t="shared" si="508"/>
        <v>0.40035698356056471</v>
      </c>
      <c r="AU282" s="5">
        <f t="shared" si="440"/>
        <v>2.4567858735822927</v>
      </c>
      <c r="AV282" s="5"/>
      <c r="AW282" s="177">
        <f t="shared" si="441"/>
        <v>0.14012494424619765</v>
      </c>
      <c r="AX282" s="177"/>
      <c r="BA282" s="469">
        <f t="shared" si="509"/>
        <v>5.4827721650935404</v>
      </c>
      <c r="BB282" s="469">
        <f t="shared" si="510"/>
        <v>0.77010054000000006</v>
      </c>
      <c r="BC282" s="5">
        <f t="shared" si="442"/>
        <v>7.5068457248347834E-2</v>
      </c>
      <c r="BD282" s="469">
        <f t="shared" si="511"/>
        <v>0</v>
      </c>
      <c r="BQ282" s="538">
        <f t="shared" si="512"/>
        <v>5.0424000000000004E-2</v>
      </c>
      <c r="CG282" s="571">
        <f t="shared" si="513"/>
        <v>-50</v>
      </c>
      <c r="CH282">
        <f t="shared" si="514"/>
        <v>-50</v>
      </c>
    </row>
    <row r="283" spans="5:86" x14ac:dyDescent="0.25">
      <c r="E283" s="174">
        <v>67</v>
      </c>
      <c r="F283" s="221">
        <f t="shared" si="515"/>
        <v>0.13400000000000001</v>
      </c>
      <c r="G283" s="221"/>
      <c r="H283" s="221">
        <f t="shared" si="481"/>
        <v>2.1440000000000001</v>
      </c>
      <c r="I283" s="551">
        <f t="shared" si="482"/>
        <v>48</v>
      </c>
      <c r="J283" s="451">
        <f t="shared" si="483"/>
        <v>19.584</v>
      </c>
      <c r="K283" s="451">
        <f t="shared" si="484"/>
        <v>67.584000000000003</v>
      </c>
      <c r="L283" s="451"/>
      <c r="M283" s="221">
        <f t="shared" si="485"/>
        <v>0.28977272727272724</v>
      </c>
      <c r="N283" s="176">
        <f t="shared" si="486"/>
        <v>9.6890727272727268</v>
      </c>
      <c r="O283" s="176">
        <f t="shared" si="478"/>
        <v>2.1440000000000001</v>
      </c>
      <c r="P283" s="221">
        <f t="shared" si="487"/>
        <v>0.60556704545454543</v>
      </c>
      <c r="Q283" s="221">
        <f t="shared" si="488"/>
        <v>16</v>
      </c>
      <c r="R283" s="221"/>
      <c r="S283" s="176">
        <f t="shared" si="489"/>
        <v>201.8543564652168</v>
      </c>
      <c r="T283" s="176">
        <f t="shared" si="490"/>
        <v>16</v>
      </c>
      <c r="U283" s="221">
        <f t="shared" si="491"/>
        <v>0.34254175744371829</v>
      </c>
      <c r="V283" s="221">
        <f t="shared" si="492"/>
        <v>0.21408859840232394</v>
      </c>
      <c r="W283" s="221">
        <f t="shared" si="493"/>
        <v>0.52472695686844106</v>
      </c>
      <c r="X283" s="201">
        <f t="shared" si="494"/>
        <v>350</v>
      </c>
      <c r="Y283" s="451">
        <f t="shared" si="480"/>
        <v>350</v>
      </c>
      <c r="AA283" s="221">
        <f t="shared" si="495"/>
        <v>1.3246753246753247</v>
      </c>
      <c r="AB283" s="177">
        <f t="shared" si="496"/>
        <v>2.029220779220779</v>
      </c>
      <c r="AC283" s="177">
        <f t="shared" si="497"/>
        <v>0.5644923258559621</v>
      </c>
      <c r="AD283" s="177"/>
      <c r="AE283" s="177">
        <f t="shared" si="498"/>
        <v>0.4595588235294118</v>
      </c>
      <c r="AF283" s="555">
        <f t="shared" si="499"/>
        <v>1619.9111111111113</v>
      </c>
      <c r="AG283" s="538">
        <f t="shared" si="500"/>
        <v>2.8952205882352939E-2</v>
      </c>
      <c r="AI283" s="177">
        <f t="shared" si="501"/>
        <v>0.64540574170716158</v>
      </c>
      <c r="AJ283" s="177">
        <f t="shared" si="502"/>
        <v>0.64540574170716158</v>
      </c>
      <c r="AK283" s="177">
        <f t="shared" si="503"/>
        <v>1.4302704944714411</v>
      </c>
      <c r="AM283" s="555">
        <f t="shared" si="504"/>
        <v>134</v>
      </c>
      <c r="AN283" s="469">
        <f t="shared" si="505"/>
        <v>350</v>
      </c>
      <c r="AP283">
        <f t="shared" si="506"/>
        <v>134</v>
      </c>
      <c r="AQ283">
        <f t="shared" si="507"/>
        <v>350</v>
      </c>
      <c r="AS283" s="5">
        <f t="shared" si="479"/>
        <v>2.8571428571428572</v>
      </c>
      <c r="AT283" s="5">
        <f t="shared" si="508"/>
        <v>0.40337858856697595</v>
      </c>
      <c r="AU283" s="5">
        <f t="shared" si="440"/>
        <v>2.4537642685758811</v>
      </c>
      <c r="AV283" s="5"/>
      <c r="AW283" s="177">
        <f t="shared" si="441"/>
        <v>0.14118250599844157</v>
      </c>
      <c r="AX283" s="177"/>
      <c r="BA283" s="469">
        <f t="shared" si="509"/>
        <v>5.4827721650935404</v>
      </c>
      <c r="BB283" s="469">
        <f t="shared" si="510"/>
        <v>0.78752280166666688</v>
      </c>
      <c r="BC283" s="5">
        <f t="shared" si="442"/>
        <v>7.6112132404900015E-2</v>
      </c>
      <c r="BD283" s="469">
        <f t="shared" si="511"/>
        <v>0</v>
      </c>
      <c r="BQ283" s="538">
        <f t="shared" si="512"/>
        <v>5.1188000000000004E-2</v>
      </c>
      <c r="CG283" s="571">
        <f t="shared" si="513"/>
        <v>-50</v>
      </c>
      <c r="CH283">
        <f t="shared" si="514"/>
        <v>-50</v>
      </c>
    </row>
    <row r="284" spans="5:86" x14ac:dyDescent="0.25">
      <c r="E284" s="174">
        <v>68</v>
      </c>
      <c r="F284" s="221">
        <f t="shared" si="515"/>
        <v>0.13600000000000001</v>
      </c>
      <c r="G284" s="221"/>
      <c r="H284" s="221">
        <f t="shared" si="481"/>
        <v>2.1760000000000002</v>
      </c>
      <c r="I284" s="551">
        <f t="shared" si="482"/>
        <v>48</v>
      </c>
      <c r="J284" s="451">
        <f t="shared" si="483"/>
        <v>19.584</v>
      </c>
      <c r="K284" s="451">
        <f t="shared" si="484"/>
        <v>67.584000000000003</v>
      </c>
      <c r="L284" s="451"/>
      <c r="M284" s="221">
        <f t="shared" si="485"/>
        <v>0.28977272727272724</v>
      </c>
      <c r="N284" s="176">
        <f t="shared" si="486"/>
        <v>9.6890727272727268</v>
      </c>
      <c r="O284" s="176">
        <f t="shared" si="478"/>
        <v>2.1760000000000002</v>
      </c>
      <c r="P284" s="221">
        <f t="shared" si="487"/>
        <v>0.60556704545454543</v>
      </c>
      <c r="Q284" s="221">
        <f t="shared" si="488"/>
        <v>16</v>
      </c>
      <c r="R284" s="221"/>
      <c r="S284" s="176">
        <f t="shared" si="489"/>
        <v>198.29973887058443</v>
      </c>
      <c r="T284" s="176">
        <f t="shared" si="490"/>
        <v>16</v>
      </c>
      <c r="U284" s="221">
        <f t="shared" si="491"/>
        <v>0.34765432098765436</v>
      </c>
      <c r="V284" s="221">
        <f t="shared" si="492"/>
        <v>0.21728395061728398</v>
      </c>
      <c r="W284" s="221">
        <f t="shared" si="493"/>
        <v>0.53255870249334314</v>
      </c>
      <c r="X284" s="201">
        <f t="shared" si="494"/>
        <v>350</v>
      </c>
      <c r="Y284" s="451">
        <f t="shared" si="480"/>
        <v>350</v>
      </c>
      <c r="AA284" s="221">
        <f t="shared" si="495"/>
        <v>1.3246753246753247</v>
      </c>
      <c r="AB284" s="177">
        <f t="shared" si="496"/>
        <v>2.029220779220779</v>
      </c>
      <c r="AC284" s="177">
        <f t="shared" si="497"/>
        <v>0.5644923258559621</v>
      </c>
      <c r="AD284" s="177"/>
      <c r="AE284" s="177">
        <f t="shared" si="498"/>
        <v>0.4595588235294118</v>
      </c>
      <c r="AF284" s="555">
        <f t="shared" si="499"/>
        <v>1644.0888888888892</v>
      </c>
      <c r="AG284" s="538">
        <f t="shared" si="500"/>
        <v>2.8952205882352939E-2</v>
      </c>
      <c r="AI284" s="177">
        <f t="shared" si="501"/>
        <v>0.65020436347791011</v>
      </c>
      <c r="AJ284" s="177">
        <f t="shared" si="502"/>
        <v>0.65020436347791011</v>
      </c>
      <c r="AK284" s="177">
        <f t="shared" si="503"/>
        <v>1.43346957565194</v>
      </c>
      <c r="AM284" s="555">
        <f t="shared" si="504"/>
        <v>136</v>
      </c>
      <c r="AN284" s="469">
        <f t="shared" si="505"/>
        <v>350</v>
      </c>
      <c r="AP284">
        <f t="shared" si="506"/>
        <v>136</v>
      </c>
      <c r="AQ284">
        <f t="shared" si="507"/>
        <v>350</v>
      </c>
      <c r="AS284" s="5">
        <f t="shared" si="479"/>
        <v>2.8571428571428572</v>
      </c>
      <c r="AT284" s="5">
        <f t="shared" si="508"/>
        <v>0.4063777271736938</v>
      </c>
      <c r="AU284" s="5">
        <f t="shared" si="440"/>
        <v>2.4507651299691635</v>
      </c>
      <c r="AV284" s="5"/>
      <c r="AW284" s="177">
        <f t="shared" si="441"/>
        <v>0.14223220451079283</v>
      </c>
      <c r="AX284" s="177"/>
      <c r="BA284" s="469">
        <f t="shared" si="509"/>
        <v>5.4827721650935404</v>
      </c>
      <c r="BB284" s="469">
        <f t="shared" si="510"/>
        <v>0.80511682666666684</v>
      </c>
      <c r="BC284" s="5">
        <f t="shared" si="442"/>
        <v>7.7153717054584778E-2</v>
      </c>
      <c r="BD284" s="469">
        <f t="shared" si="511"/>
        <v>0</v>
      </c>
      <c r="BQ284" s="538">
        <f t="shared" si="512"/>
        <v>5.1951999999999998E-2</v>
      </c>
      <c r="CG284" s="571">
        <f t="shared" si="513"/>
        <v>-50</v>
      </c>
      <c r="CH284">
        <f t="shared" si="514"/>
        <v>-50</v>
      </c>
    </row>
    <row r="285" spans="5:86" x14ac:dyDescent="0.25">
      <c r="E285" s="174">
        <v>69</v>
      </c>
      <c r="F285" s="221">
        <f t="shared" si="515"/>
        <v>0.13799999999999998</v>
      </c>
      <c r="G285" s="221"/>
      <c r="H285" s="221">
        <f t="shared" si="481"/>
        <v>2.2079999999999997</v>
      </c>
      <c r="I285" s="551">
        <f t="shared" si="482"/>
        <v>48</v>
      </c>
      <c r="J285" s="451">
        <f t="shared" si="483"/>
        <v>19.584</v>
      </c>
      <c r="K285" s="451">
        <f t="shared" si="484"/>
        <v>67.584000000000003</v>
      </c>
      <c r="L285" s="451"/>
      <c r="M285" s="221">
        <f t="shared" si="485"/>
        <v>0.28977272727272724</v>
      </c>
      <c r="N285" s="176">
        <f t="shared" si="486"/>
        <v>9.6890727272727268</v>
      </c>
      <c r="O285" s="176">
        <f t="shared" si="478"/>
        <v>2.2079999999999997</v>
      </c>
      <c r="P285" s="221">
        <f t="shared" si="487"/>
        <v>0.60556704545454543</v>
      </c>
      <c r="Q285" s="221">
        <f t="shared" si="488"/>
        <v>16</v>
      </c>
      <c r="R285" s="221"/>
      <c r="S285" s="176">
        <f t="shared" si="489"/>
        <v>194.84819315279771</v>
      </c>
      <c r="T285" s="176">
        <f t="shared" si="490"/>
        <v>16</v>
      </c>
      <c r="U285" s="221">
        <f t="shared" si="491"/>
        <v>0.35276688453159039</v>
      </c>
      <c r="V285" s="221">
        <f t="shared" si="492"/>
        <v>0.22047930283224401</v>
      </c>
      <c r="W285" s="221">
        <f t="shared" si="493"/>
        <v>0.5403904481182451</v>
      </c>
      <c r="X285" s="201">
        <f t="shared" si="494"/>
        <v>350</v>
      </c>
      <c r="Y285" s="451">
        <f t="shared" si="480"/>
        <v>350</v>
      </c>
      <c r="AA285" s="221">
        <f t="shared" si="495"/>
        <v>1.3246753246753247</v>
      </c>
      <c r="AB285" s="177">
        <f t="shared" si="496"/>
        <v>2.029220779220779</v>
      </c>
      <c r="AC285" s="177">
        <f t="shared" si="497"/>
        <v>0.5644923258559621</v>
      </c>
      <c r="AD285" s="177"/>
      <c r="AE285" s="177">
        <f t="shared" si="498"/>
        <v>0.4595588235294118</v>
      </c>
      <c r="AF285" s="555">
        <f t="shared" si="499"/>
        <v>1668.2666666666664</v>
      </c>
      <c r="AG285" s="538">
        <f t="shared" si="500"/>
        <v>2.8952205882352939E-2</v>
      </c>
      <c r="AI285" s="177">
        <f t="shared" si="501"/>
        <v>0.65496782908999207</v>
      </c>
      <c r="AJ285" s="177">
        <f t="shared" si="502"/>
        <v>0.65496782908999207</v>
      </c>
      <c r="AK285" s="177">
        <f t="shared" si="503"/>
        <v>1.4366452193933281</v>
      </c>
      <c r="AM285" s="555">
        <f t="shared" si="504"/>
        <v>137.99999999999997</v>
      </c>
      <c r="AN285" s="469">
        <f t="shared" si="505"/>
        <v>350</v>
      </c>
      <c r="AP285">
        <f t="shared" si="506"/>
        <v>137.99999999999997</v>
      </c>
      <c r="AQ285">
        <f t="shared" si="507"/>
        <v>350</v>
      </c>
      <c r="AS285" s="5">
        <f t="shared" si="479"/>
        <v>2.8571428571428572</v>
      </c>
      <c r="AT285" s="5">
        <f t="shared" si="508"/>
        <v>0.40935489318124513</v>
      </c>
      <c r="AU285" s="5">
        <f t="shared" si="440"/>
        <v>2.4477879639616122</v>
      </c>
      <c r="AV285" s="5"/>
      <c r="AW285" s="177">
        <f t="shared" si="441"/>
        <v>0.14327421261343579</v>
      </c>
      <c r="AX285" s="177"/>
      <c r="BA285" s="469">
        <f t="shared" si="509"/>
        <v>5.4827721650935404</v>
      </c>
      <c r="BB285" s="469">
        <f t="shared" si="510"/>
        <v>0.82288261499999993</v>
      </c>
      <c r="BC285" s="5">
        <f t="shared" si="442"/>
        <v>7.8193226626551496E-2</v>
      </c>
      <c r="BD285" s="469">
        <f t="shared" si="511"/>
        <v>0</v>
      </c>
      <c r="BQ285" s="538">
        <f t="shared" si="512"/>
        <v>5.2715999999999999E-2</v>
      </c>
      <c r="CG285" s="571">
        <f t="shared" si="513"/>
        <v>-50</v>
      </c>
      <c r="CH285">
        <f t="shared" si="514"/>
        <v>-50</v>
      </c>
    </row>
    <row r="286" spans="5:86" x14ac:dyDescent="0.25">
      <c r="E286" s="174">
        <v>70</v>
      </c>
      <c r="F286" s="221">
        <f t="shared" si="515"/>
        <v>0.13999999999999999</v>
      </c>
      <c r="G286" s="221"/>
      <c r="H286" s="221">
        <f t="shared" si="481"/>
        <v>2.2399999999999998</v>
      </c>
      <c r="I286" s="551">
        <f t="shared" si="482"/>
        <v>48</v>
      </c>
      <c r="J286" s="451">
        <f t="shared" si="483"/>
        <v>19.584</v>
      </c>
      <c r="K286" s="451">
        <f t="shared" si="484"/>
        <v>67.584000000000003</v>
      </c>
      <c r="L286" s="451"/>
      <c r="M286" s="221">
        <f t="shared" si="485"/>
        <v>0.28977272727272724</v>
      </c>
      <c r="N286" s="176">
        <f t="shared" si="486"/>
        <v>9.6890727272727268</v>
      </c>
      <c r="O286" s="176">
        <f t="shared" si="478"/>
        <v>2.2399999999999998</v>
      </c>
      <c r="P286" s="221">
        <f t="shared" si="487"/>
        <v>0.60556704545454543</v>
      </c>
      <c r="Q286" s="221">
        <f t="shared" si="488"/>
        <v>16</v>
      </c>
      <c r="R286" s="221"/>
      <c r="S286" s="176">
        <f t="shared" si="489"/>
        <v>191.49530228813956</v>
      </c>
      <c r="T286" s="176">
        <f t="shared" si="490"/>
        <v>16</v>
      </c>
      <c r="U286" s="221">
        <f t="shared" si="491"/>
        <v>0.35787944807552646</v>
      </c>
      <c r="V286" s="221">
        <f t="shared" si="492"/>
        <v>0.22367465504720405</v>
      </c>
      <c r="W286" s="221">
        <f t="shared" si="493"/>
        <v>0.54822219374314729</v>
      </c>
      <c r="X286" s="201">
        <f t="shared" si="494"/>
        <v>350</v>
      </c>
      <c r="Y286" s="451">
        <f t="shared" si="480"/>
        <v>350</v>
      </c>
      <c r="AA286" s="221">
        <f t="shared" si="495"/>
        <v>1.3246753246753247</v>
      </c>
      <c r="AB286" s="177">
        <f t="shared" si="496"/>
        <v>2.029220779220779</v>
      </c>
      <c r="AC286" s="177">
        <f t="shared" si="497"/>
        <v>0.5644923258559621</v>
      </c>
      <c r="AD286" s="177"/>
      <c r="AE286" s="177">
        <f t="shared" si="498"/>
        <v>0.4595588235294118</v>
      </c>
      <c r="AF286" s="555">
        <f t="shared" si="499"/>
        <v>1692.4444444444446</v>
      </c>
      <c r="AG286" s="538">
        <f t="shared" si="500"/>
        <v>2.8952205882352939E-2</v>
      </c>
      <c r="AI286" s="177">
        <f t="shared" si="501"/>
        <v>0.65969690009882564</v>
      </c>
      <c r="AJ286" s="177">
        <f t="shared" si="502"/>
        <v>0.65969690009882564</v>
      </c>
      <c r="AK286" s="177">
        <f t="shared" si="503"/>
        <v>1.439797933399217</v>
      </c>
      <c r="AM286" s="555">
        <f t="shared" si="504"/>
        <v>139.99999999999997</v>
      </c>
      <c r="AN286" s="469">
        <f t="shared" si="505"/>
        <v>350</v>
      </c>
      <c r="AP286">
        <f t="shared" si="506"/>
        <v>139.99999999999997</v>
      </c>
      <c r="AQ286">
        <f t="shared" si="507"/>
        <v>350</v>
      </c>
      <c r="AS286" s="5">
        <f t="shared" si="479"/>
        <v>2.8571428571428572</v>
      </c>
      <c r="AT286" s="5">
        <f t="shared" si="508"/>
        <v>0.41231056256176607</v>
      </c>
      <c r="AU286" s="5">
        <f t="shared" si="440"/>
        <v>2.444832294581091</v>
      </c>
      <c r="AV286" s="5"/>
      <c r="AW286" s="177">
        <f t="shared" si="441"/>
        <v>0.14430869689661813</v>
      </c>
      <c r="AX286" s="177"/>
      <c r="BA286" s="469">
        <f t="shared" si="509"/>
        <v>5.4827721650935404</v>
      </c>
      <c r="BB286" s="469">
        <f t="shared" si="510"/>
        <v>0.84082016666666659</v>
      </c>
      <c r="BC286" s="5">
        <f t="shared" si="442"/>
        <v>7.9230676213276077E-2</v>
      </c>
      <c r="BD286" s="469">
        <f t="shared" si="511"/>
        <v>0</v>
      </c>
      <c r="BQ286" s="538">
        <f t="shared" si="512"/>
        <v>5.3479999999999993E-2</v>
      </c>
      <c r="CG286" s="571">
        <f t="shared" si="513"/>
        <v>-50</v>
      </c>
      <c r="CH286">
        <f t="shared" si="514"/>
        <v>-50</v>
      </c>
    </row>
    <row r="287" spans="5:86" x14ac:dyDescent="0.25">
      <c r="E287" s="174">
        <v>71</v>
      </c>
      <c r="F287" s="221">
        <f t="shared" si="515"/>
        <v>0.14199999999999999</v>
      </c>
      <c r="G287" s="221"/>
      <c r="H287" s="221">
        <f t="shared" si="481"/>
        <v>2.2719999999999998</v>
      </c>
      <c r="I287" s="551">
        <f t="shared" si="482"/>
        <v>48</v>
      </c>
      <c r="J287" s="451">
        <f t="shared" si="483"/>
        <v>19.584</v>
      </c>
      <c r="K287" s="451">
        <f t="shared" si="484"/>
        <v>67.584000000000003</v>
      </c>
      <c r="L287" s="451"/>
      <c r="M287" s="221">
        <f t="shared" si="485"/>
        <v>0.28977272727272724</v>
      </c>
      <c r="N287" s="176">
        <f t="shared" si="486"/>
        <v>9.6890727272727268</v>
      </c>
      <c r="O287" s="176">
        <f t="shared" si="478"/>
        <v>2.2719999999999998</v>
      </c>
      <c r="P287" s="221">
        <f t="shared" si="487"/>
        <v>0.60556704545454543</v>
      </c>
      <c r="Q287" s="221">
        <f t="shared" si="488"/>
        <v>16</v>
      </c>
      <c r="R287" s="221"/>
      <c r="S287" s="176">
        <f t="shared" si="489"/>
        <v>188.23689810322372</v>
      </c>
      <c r="T287" s="176">
        <f t="shared" si="490"/>
        <v>16</v>
      </c>
      <c r="U287" s="221">
        <f t="shared" si="491"/>
        <v>0.3629920116194626</v>
      </c>
      <c r="V287" s="221">
        <f t="shared" si="492"/>
        <v>0.22687000726216414</v>
      </c>
      <c r="W287" s="221">
        <f t="shared" si="493"/>
        <v>0.55605393936804937</v>
      </c>
      <c r="X287" s="201">
        <f t="shared" si="494"/>
        <v>350</v>
      </c>
      <c r="Y287" s="451">
        <f t="shared" si="480"/>
        <v>350</v>
      </c>
      <c r="AA287" s="221">
        <f t="shared" si="495"/>
        <v>1.3246753246753247</v>
      </c>
      <c r="AB287" s="177">
        <f t="shared" si="496"/>
        <v>2.029220779220779</v>
      </c>
      <c r="AC287" s="177">
        <f t="shared" si="497"/>
        <v>0.5644923258559621</v>
      </c>
      <c r="AD287" s="177"/>
      <c r="AE287" s="177">
        <f t="shared" si="498"/>
        <v>0.4595588235294118</v>
      </c>
      <c r="AF287" s="555">
        <f t="shared" si="499"/>
        <v>1716.6222222222223</v>
      </c>
      <c r="AG287" s="538">
        <f t="shared" si="500"/>
        <v>2.8952205882352939E-2</v>
      </c>
      <c r="AI287" s="177">
        <f t="shared" si="501"/>
        <v>0.66439231095576567</v>
      </c>
      <c r="AJ287" s="177">
        <f t="shared" si="502"/>
        <v>0.66439231095576567</v>
      </c>
      <c r="AK287" s="177">
        <f t="shared" si="503"/>
        <v>1.4429282073038439</v>
      </c>
      <c r="AM287" s="555">
        <f t="shared" si="504"/>
        <v>142</v>
      </c>
      <c r="AN287" s="469">
        <f t="shared" si="505"/>
        <v>350</v>
      </c>
      <c r="AP287">
        <f t="shared" si="506"/>
        <v>142</v>
      </c>
      <c r="AQ287">
        <f t="shared" si="507"/>
        <v>350</v>
      </c>
      <c r="AS287" s="5">
        <f t="shared" si="479"/>
        <v>2.8571428571428572</v>
      </c>
      <c r="AT287" s="5">
        <f t="shared" si="508"/>
        <v>0.41524519434735352</v>
      </c>
      <c r="AU287" s="5">
        <f t="shared" si="440"/>
        <v>2.4418976627955038</v>
      </c>
      <c r="AV287" s="5"/>
      <c r="AW287" s="177">
        <f t="shared" si="441"/>
        <v>0.14533581802157372</v>
      </c>
      <c r="AX287" s="177"/>
      <c r="BA287" s="469">
        <f t="shared" si="509"/>
        <v>5.4827721650935404</v>
      </c>
      <c r="BB287" s="469">
        <f t="shared" si="510"/>
        <v>0.85892948166666661</v>
      </c>
      <c r="BC287" s="5">
        <f t="shared" si="442"/>
        <v>8.0266080582629976E-2</v>
      </c>
      <c r="BD287" s="469">
        <f t="shared" si="511"/>
        <v>0</v>
      </c>
      <c r="BQ287" s="538">
        <f t="shared" si="512"/>
        <v>5.4243999999999994E-2</v>
      </c>
      <c r="CG287" s="571">
        <f t="shared" si="513"/>
        <v>-50</v>
      </c>
      <c r="CH287">
        <f t="shared" si="514"/>
        <v>-50</v>
      </c>
    </row>
    <row r="288" spans="5:86" x14ac:dyDescent="0.25">
      <c r="E288" s="174">
        <v>72</v>
      </c>
      <c r="F288" s="221">
        <f t="shared" si="515"/>
        <v>0.14399999999999999</v>
      </c>
      <c r="G288" s="221"/>
      <c r="H288" s="221">
        <f t="shared" si="481"/>
        <v>2.3039999999999998</v>
      </c>
      <c r="I288" s="551">
        <f t="shared" si="482"/>
        <v>48</v>
      </c>
      <c r="J288" s="451">
        <f t="shared" si="483"/>
        <v>19.584</v>
      </c>
      <c r="K288" s="451">
        <f t="shared" si="484"/>
        <v>67.584000000000003</v>
      </c>
      <c r="L288" s="451"/>
      <c r="M288" s="221">
        <f t="shared" si="485"/>
        <v>0.28977272727272724</v>
      </c>
      <c r="N288" s="176">
        <f t="shared" si="486"/>
        <v>9.6890727272727268</v>
      </c>
      <c r="O288" s="176">
        <f t="shared" si="478"/>
        <v>2.3039999999999998</v>
      </c>
      <c r="P288" s="221">
        <f t="shared" si="487"/>
        <v>0.60556704545454543</v>
      </c>
      <c r="Q288" s="221">
        <f t="shared" si="488"/>
        <v>16</v>
      </c>
      <c r="R288" s="221"/>
      <c r="S288" s="176">
        <f t="shared" si="489"/>
        <v>185.06904399377791</v>
      </c>
      <c r="T288" s="176">
        <f t="shared" si="490"/>
        <v>16</v>
      </c>
      <c r="U288" s="221">
        <f t="shared" si="491"/>
        <v>0.36810457516339867</v>
      </c>
      <c r="V288" s="221">
        <f t="shared" si="492"/>
        <v>0.23006535947712417</v>
      </c>
      <c r="W288" s="221">
        <f t="shared" si="493"/>
        <v>0.56388568499295133</v>
      </c>
      <c r="X288" s="201">
        <f t="shared" si="494"/>
        <v>350</v>
      </c>
      <c r="Y288" s="451">
        <f t="shared" si="480"/>
        <v>350</v>
      </c>
      <c r="AA288" s="221">
        <f t="shared" si="495"/>
        <v>1.3246753246753247</v>
      </c>
      <c r="AB288" s="177">
        <f t="shared" si="496"/>
        <v>2.029220779220779</v>
      </c>
      <c r="AC288" s="177">
        <f t="shared" si="497"/>
        <v>0.5644923258559621</v>
      </c>
      <c r="AD288" s="177"/>
      <c r="AE288" s="177">
        <f t="shared" si="498"/>
        <v>0.4595588235294118</v>
      </c>
      <c r="AF288" s="555">
        <f t="shared" si="499"/>
        <v>1740.8</v>
      </c>
      <c r="AG288" s="538">
        <f t="shared" si="500"/>
        <v>2.8952205882352939E-2</v>
      </c>
      <c r="AI288" s="177">
        <f t="shared" si="501"/>
        <v>0.66905477033968275</v>
      </c>
      <c r="AJ288" s="177">
        <f t="shared" si="502"/>
        <v>0.66905477033968275</v>
      </c>
      <c r="AK288" s="177">
        <f t="shared" si="503"/>
        <v>1.4460365135597886</v>
      </c>
      <c r="AM288" s="555">
        <f t="shared" si="504"/>
        <v>144</v>
      </c>
      <c r="AN288" s="469">
        <f t="shared" si="505"/>
        <v>350</v>
      </c>
      <c r="AP288">
        <f t="shared" si="506"/>
        <v>144</v>
      </c>
      <c r="AQ288">
        <f t="shared" si="507"/>
        <v>350</v>
      </c>
      <c r="AS288" s="5">
        <f t="shared" si="479"/>
        <v>2.8571428571428572</v>
      </c>
      <c r="AT288" s="5">
        <f t="shared" si="508"/>
        <v>0.41815923146230172</v>
      </c>
      <c r="AU288" s="5">
        <f t="shared" si="440"/>
        <v>2.4389836256805557</v>
      </c>
      <c r="AV288" s="5"/>
      <c r="AW288" s="177">
        <f t="shared" si="441"/>
        <v>0.1463557310118056</v>
      </c>
      <c r="AX288" s="177"/>
      <c r="BA288" s="469">
        <f t="shared" si="509"/>
        <v>5.4827721650935404</v>
      </c>
      <c r="BB288" s="469">
        <f t="shared" si="510"/>
        <v>0.87721055999999997</v>
      </c>
      <c r="BC288" s="5">
        <f t="shared" si="442"/>
        <v>8.1299454189351847E-2</v>
      </c>
      <c r="BD288" s="469">
        <f t="shared" si="511"/>
        <v>0</v>
      </c>
      <c r="BQ288" s="538">
        <f t="shared" si="512"/>
        <v>5.5007999999999994E-2</v>
      </c>
      <c r="CG288" s="571">
        <f t="shared" si="513"/>
        <v>-50</v>
      </c>
      <c r="CH288">
        <f t="shared" si="514"/>
        <v>-50</v>
      </c>
    </row>
    <row r="289" spans="5:86" x14ac:dyDescent="0.25">
      <c r="E289" s="174">
        <v>73</v>
      </c>
      <c r="F289" s="221">
        <f t="shared" si="515"/>
        <v>0.14599999999999999</v>
      </c>
      <c r="G289" s="221"/>
      <c r="H289" s="221">
        <f t="shared" si="481"/>
        <v>2.3359999999999999</v>
      </c>
      <c r="I289" s="551">
        <f t="shared" si="482"/>
        <v>48</v>
      </c>
      <c r="J289" s="451">
        <f t="shared" si="483"/>
        <v>19.584</v>
      </c>
      <c r="K289" s="451">
        <f t="shared" si="484"/>
        <v>67.584000000000003</v>
      </c>
      <c r="L289" s="451"/>
      <c r="M289" s="221">
        <f t="shared" si="485"/>
        <v>0.28977272727272724</v>
      </c>
      <c r="N289" s="176">
        <f t="shared" si="486"/>
        <v>9.6890727272727268</v>
      </c>
      <c r="O289" s="176">
        <f t="shared" si="478"/>
        <v>2.3359999999999999</v>
      </c>
      <c r="P289" s="221">
        <f t="shared" si="487"/>
        <v>0.60556704545454543</v>
      </c>
      <c r="Q289" s="221">
        <f t="shared" si="488"/>
        <v>16</v>
      </c>
      <c r="R289" s="221"/>
      <c r="S289" s="176">
        <f t="shared" si="489"/>
        <v>181.988019063801</v>
      </c>
      <c r="T289" s="176">
        <f t="shared" si="490"/>
        <v>16</v>
      </c>
      <c r="U289" s="221">
        <f t="shared" si="491"/>
        <v>0.37321713870733481</v>
      </c>
      <c r="V289" s="221">
        <f t="shared" si="492"/>
        <v>0.23326071169208429</v>
      </c>
      <c r="W289" s="221">
        <f t="shared" si="493"/>
        <v>0.57171743061785363</v>
      </c>
      <c r="X289" s="201">
        <f t="shared" si="494"/>
        <v>350</v>
      </c>
      <c r="Y289" s="451">
        <f t="shared" si="480"/>
        <v>350</v>
      </c>
      <c r="AA289" s="221">
        <f t="shared" si="495"/>
        <v>1.3246753246753247</v>
      </c>
      <c r="AB289" s="177">
        <f t="shared" si="496"/>
        <v>2.029220779220779</v>
      </c>
      <c r="AC289" s="177">
        <f t="shared" si="497"/>
        <v>0.5644923258559621</v>
      </c>
      <c r="AD289" s="177"/>
      <c r="AE289" s="177">
        <f t="shared" si="498"/>
        <v>0.4595588235294118</v>
      </c>
      <c r="AF289" s="555">
        <f t="shared" si="499"/>
        <v>1764.9777777777776</v>
      </c>
      <c r="AG289" s="538">
        <f t="shared" si="500"/>
        <v>2.8952205882352939E-2</v>
      </c>
      <c r="AI289" s="177">
        <f t="shared" si="501"/>
        <v>0.67368496240559539</v>
      </c>
      <c r="AJ289" s="177">
        <f t="shared" si="502"/>
        <v>0.67368496240559539</v>
      </c>
      <c r="AK289" s="177">
        <f t="shared" si="503"/>
        <v>1.4491233082703969</v>
      </c>
      <c r="AM289" s="555">
        <f t="shared" si="504"/>
        <v>146</v>
      </c>
      <c r="AN289" s="469">
        <f t="shared" si="505"/>
        <v>350</v>
      </c>
      <c r="AP289">
        <f t="shared" si="506"/>
        <v>146</v>
      </c>
      <c r="AQ289">
        <f t="shared" si="507"/>
        <v>350</v>
      </c>
      <c r="AS289" s="5">
        <f t="shared" si="479"/>
        <v>2.8571428571428572</v>
      </c>
      <c r="AT289" s="5">
        <f t="shared" si="508"/>
        <v>0.42105310150349706</v>
      </c>
      <c r="AU289" s="5">
        <f t="shared" si="440"/>
        <v>2.4360897556393599</v>
      </c>
      <c r="AV289" s="5"/>
      <c r="AW289" s="177">
        <f t="shared" si="441"/>
        <v>0.14736858552622398</v>
      </c>
      <c r="AX289" s="177"/>
      <c r="BA289" s="469">
        <f t="shared" si="509"/>
        <v>5.4827721650935404</v>
      </c>
      <c r="BB289" s="469">
        <f t="shared" si="510"/>
        <v>0.89566340166666669</v>
      </c>
      <c r="BC289" s="5">
        <f t="shared" si="442"/>
        <v>8.2330811185959848E-2</v>
      </c>
      <c r="BD289" s="469">
        <f t="shared" si="511"/>
        <v>0</v>
      </c>
      <c r="BQ289" s="538">
        <f t="shared" si="512"/>
        <v>5.5771999999999995E-2</v>
      </c>
      <c r="CG289" s="571">
        <f t="shared" si="513"/>
        <v>-50</v>
      </c>
      <c r="CH289">
        <f t="shared" si="514"/>
        <v>-50</v>
      </c>
    </row>
    <row r="290" spans="5:86" x14ac:dyDescent="0.25">
      <c r="E290" s="174">
        <v>74</v>
      </c>
      <c r="F290" s="221">
        <f t="shared" si="515"/>
        <v>0.14799999999999999</v>
      </c>
      <c r="G290" s="221"/>
      <c r="H290" s="221">
        <f t="shared" si="481"/>
        <v>2.3679999999999999</v>
      </c>
      <c r="I290" s="551">
        <f t="shared" si="482"/>
        <v>48</v>
      </c>
      <c r="J290" s="451">
        <f t="shared" si="483"/>
        <v>19.584</v>
      </c>
      <c r="K290" s="451">
        <f t="shared" si="484"/>
        <v>67.584000000000003</v>
      </c>
      <c r="L290" s="451"/>
      <c r="M290" s="221">
        <f t="shared" si="485"/>
        <v>0.28977272727272724</v>
      </c>
      <c r="N290" s="176">
        <f t="shared" si="486"/>
        <v>9.6890727272727268</v>
      </c>
      <c r="O290" s="176">
        <f t="shared" si="478"/>
        <v>2.3679999999999999</v>
      </c>
      <c r="P290" s="221">
        <f t="shared" si="487"/>
        <v>0.60556704545454543</v>
      </c>
      <c r="Q290" s="221">
        <f t="shared" si="488"/>
        <v>16</v>
      </c>
      <c r="R290" s="221"/>
      <c r="S290" s="176">
        <f t="shared" si="489"/>
        <v>178.99030355073612</v>
      </c>
      <c r="T290" s="176">
        <f t="shared" si="490"/>
        <v>16</v>
      </c>
      <c r="U290" s="221">
        <f t="shared" si="491"/>
        <v>0.37832970225127088</v>
      </c>
      <c r="V290" s="221">
        <f t="shared" si="492"/>
        <v>0.23645606390704429</v>
      </c>
      <c r="W290" s="221">
        <f t="shared" si="493"/>
        <v>0.57954917624275559</v>
      </c>
      <c r="X290" s="201">
        <f t="shared" si="494"/>
        <v>350</v>
      </c>
      <c r="Y290" s="451">
        <f t="shared" si="480"/>
        <v>350</v>
      </c>
      <c r="AA290" s="221">
        <f t="shared" si="495"/>
        <v>1.3246753246753247</v>
      </c>
      <c r="AB290" s="177">
        <f t="shared" si="496"/>
        <v>2.029220779220779</v>
      </c>
      <c r="AC290" s="177">
        <f t="shared" si="497"/>
        <v>0.5644923258559621</v>
      </c>
      <c r="AD290" s="177"/>
      <c r="AE290" s="177">
        <f t="shared" si="498"/>
        <v>0.4595588235294118</v>
      </c>
      <c r="AF290" s="555">
        <f t="shared" si="499"/>
        <v>1789.1555555555558</v>
      </c>
      <c r="AG290" s="538">
        <f t="shared" si="500"/>
        <v>2.8952205882352939E-2</v>
      </c>
      <c r="AI290" s="177">
        <f t="shared" si="501"/>
        <v>0.67828354795658385</v>
      </c>
      <c r="AJ290" s="177">
        <f t="shared" si="502"/>
        <v>0.67828354795658385</v>
      </c>
      <c r="AK290" s="177">
        <f t="shared" si="503"/>
        <v>1.452189031971056</v>
      </c>
      <c r="AM290" s="555">
        <f t="shared" si="504"/>
        <v>148</v>
      </c>
      <c r="AN290" s="469">
        <f t="shared" si="505"/>
        <v>350</v>
      </c>
      <c r="AP290">
        <f t="shared" si="506"/>
        <v>148</v>
      </c>
      <c r="AQ290">
        <f t="shared" si="507"/>
        <v>350</v>
      </c>
      <c r="AS290" s="5">
        <f t="shared" si="479"/>
        <v>2.8571428571428572</v>
      </c>
      <c r="AT290" s="5">
        <f t="shared" si="508"/>
        <v>0.42392721747286488</v>
      </c>
      <c r="AU290" s="5">
        <f t="shared" si="440"/>
        <v>2.4332156396699922</v>
      </c>
      <c r="AV290" s="5"/>
      <c r="AW290" s="177">
        <f t="shared" si="441"/>
        <v>0.1483745261155027</v>
      </c>
      <c r="AX290" s="177"/>
      <c r="BA290" s="469">
        <f t="shared" si="509"/>
        <v>5.4827721650935404</v>
      </c>
      <c r="BB290" s="469">
        <f t="shared" si="510"/>
        <v>0.91428800666666654</v>
      </c>
      <c r="BC290" s="5">
        <f t="shared" si="442"/>
        <v>8.3360165433138608E-2</v>
      </c>
      <c r="BD290" s="469">
        <f t="shared" si="511"/>
        <v>0</v>
      </c>
      <c r="BQ290" s="538">
        <f t="shared" si="512"/>
        <v>5.6536000000000003E-2</v>
      </c>
      <c r="CG290" s="571">
        <f t="shared" si="513"/>
        <v>-50</v>
      </c>
      <c r="CH290">
        <f t="shared" si="514"/>
        <v>-50</v>
      </c>
    </row>
    <row r="291" spans="5:86" x14ac:dyDescent="0.25">
      <c r="E291" s="174">
        <v>75</v>
      </c>
      <c r="F291" s="221">
        <f t="shared" si="515"/>
        <v>0.15000000000000002</v>
      </c>
      <c r="G291" s="221"/>
      <c r="H291" s="221">
        <f t="shared" si="481"/>
        <v>2.4000000000000004</v>
      </c>
      <c r="I291" s="551">
        <f t="shared" si="482"/>
        <v>48</v>
      </c>
      <c r="J291" s="451">
        <f t="shared" si="483"/>
        <v>19.584</v>
      </c>
      <c r="K291" s="451">
        <f t="shared" si="484"/>
        <v>67.584000000000003</v>
      </c>
      <c r="L291" s="451"/>
      <c r="M291" s="221">
        <f t="shared" si="485"/>
        <v>0.28977272727272724</v>
      </c>
      <c r="N291" s="176">
        <f t="shared" si="486"/>
        <v>9.6890727272727268</v>
      </c>
      <c r="O291" s="176">
        <f t="shared" si="478"/>
        <v>2.4000000000000004</v>
      </c>
      <c r="P291" s="221">
        <f t="shared" si="487"/>
        <v>0.60556704545454543</v>
      </c>
      <c r="Q291" s="221">
        <f t="shared" si="488"/>
        <v>16</v>
      </c>
      <c r="R291" s="221"/>
      <c r="S291" s="176">
        <f t="shared" si="489"/>
        <v>176.07256541663057</v>
      </c>
      <c r="T291" s="176">
        <f t="shared" si="490"/>
        <v>16</v>
      </c>
      <c r="U291" s="221">
        <f t="shared" si="491"/>
        <v>0.38344226579520707</v>
      </c>
      <c r="V291" s="221">
        <f t="shared" si="492"/>
        <v>0.23965141612200441</v>
      </c>
      <c r="W291" s="221">
        <f t="shared" si="493"/>
        <v>0.58738092186765789</v>
      </c>
      <c r="X291" s="201">
        <f t="shared" si="494"/>
        <v>350</v>
      </c>
      <c r="Y291" s="451">
        <f t="shared" si="480"/>
        <v>350</v>
      </c>
      <c r="AA291" s="221">
        <f t="shared" si="495"/>
        <v>1.3246753246753247</v>
      </c>
      <c r="AB291" s="177">
        <f t="shared" si="496"/>
        <v>2.029220779220779</v>
      </c>
      <c r="AC291" s="177">
        <f t="shared" si="497"/>
        <v>0.5644923258559621</v>
      </c>
      <c r="AD291" s="177"/>
      <c r="AE291" s="177">
        <f t="shared" si="498"/>
        <v>0.4595588235294118</v>
      </c>
      <c r="AF291" s="555">
        <f t="shared" si="499"/>
        <v>1813.3333333333337</v>
      </c>
      <c r="AG291" s="538">
        <f t="shared" si="500"/>
        <v>2.8952205882352939E-2</v>
      </c>
      <c r="AI291" s="177">
        <f t="shared" si="501"/>
        <v>0.68285116554466996</v>
      </c>
      <c r="AJ291" s="177">
        <f t="shared" si="502"/>
        <v>0.68285116554466996</v>
      </c>
      <c r="AK291" s="177">
        <f t="shared" si="503"/>
        <v>1.4552341103631132</v>
      </c>
      <c r="AM291" s="555">
        <f t="shared" si="504"/>
        <v>150.00000000000003</v>
      </c>
      <c r="AN291" s="469">
        <f t="shared" si="505"/>
        <v>350</v>
      </c>
      <c r="AP291">
        <f t="shared" si="506"/>
        <v>150.00000000000003</v>
      </c>
      <c r="AQ291">
        <f t="shared" si="507"/>
        <v>350</v>
      </c>
      <c r="AS291" s="5">
        <f t="shared" si="479"/>
        <v>2.8571428571428572</v>
      </c>
      <c r="AT291" s="5">
        <f t="shared" si="508"/>
        <v>0.42678197846541871</v>
      </c>
      <c r="AU291" s="5">
        <f t="shared" si="440"/>
        <v>2.4303608786774387</v>
      </c>
      <c r="AV291" s="5"/>
      <c r="AW291" s="177">
        <f t="shared" si="441"/>
        <v>0.14937369246289656</v>
      </c>
      <c r="AX291" s="177"/>
      <c r="BA291" s="469">
        <f t="shared" si="509"/>
        <v>5.4827721650935404</v>
      </c>
      <c r="BB291" s="469">
        <f t="shared" si="510"/>
        <v>0.9330843750000003</v>
      </c>
      <c r="BC291" s="5">
        <f t="shared" si="442"/>
        <v>8.4387530509633282E-2</v>
      </c>
      <c r="BD291" s="469">
        <f t="shared" si="511"/>
        <v>0</v>
      </c>
      <c r="BQ291" s="538">
        <f t="shared" si="512"/>
        <v>5.7300000000000011E-2</v>
      </c>
      <c r="CG291" s="571">
        <f t="shared" si="513"/>
        <v>-50</v>
      </c>
      <c r="CH291">
        <f t="shared" si="514"/>
        <v>-50</v>
      </c>
    </row>
    <row r="292" spans="5:86" x14ac:dyDescent="0.25">
      <c r="E292" s="174">
        <v>76</v>
      </c>
      <c r="F292" s="221">
        <f t="shared" si="515"/>
        <v>0.15200000000000002</v>
      </c>
      <c r="G292" s="221"/>
      <c r="H292" s="221">
        <f t="shared" si="481"/>
        <v>2.4320000000000004</v>
      </c>
      <c r="I292" s="551">
        <f t="shared" si="482"/>
        <v>48</v>
      </c>
      <c r="J292" s="451">
        <f t="shared" si="483"/>
        <v>19.584</v>
      </c>
      <c r="K292" s="451">
        <f t="shared" si="484"/>
        <v>67.584000000000003</v>
      </c>
      <c r="L292" s="451"/>
      <c r="M292" s="221">
        <f t="shared" si="485"/>
        <v>0.28977272727272724</v>
      </c>
      <c r="N292" s="176">
        <f t="shared" si="486"/>
        <v>9.6890727272727268</v>
      </c>
      <c r="O292" s="176">
        <f t="shared" si="478"/>
        <v>2.4320000000000004</v>
      </c>
      <c r="P292" s="221">
        <f t="shared" si="487"/>
        <v>0.60556704545454543</v>
      </c>
      <c r="Q292" s="221">
        <f t="shared" si="488"/>
        <v>16</v>
      </c>
      <c r="R292" s="221"/>
      <c r="S292" s="176">
        <f t="shared" si="489"/>
        <v>173.2316479978895</v>
      </c>
      <c r="T292" s="176">
        <f t="shared" si="490"/>
        <v>16</v>
      </c>
      <c r="U292" s="221">
        <f t="shared" si="491"/>
        <v>0.38855482933914315</v>
      </c>
      <c r="V292" s="221">
        <f t="shared" si="492"/>
        <v>0.24284676833696447</v>
      </c>
      <c r="W292" s="221">
        <f t="shared" si="493"/>
        <v>0.59521266749256008</v>
      </c>
      <c r="X292" s="201">
        <f t="shared" si="494"/>
        <v>350</v>
      </c>
      <c r="Y292" s="451">
        <f t="shared" si="480"/>
        <v>350</v>
      </c>
      <c r="AA292" s="221">
        <f t="shared" si="495"/>
        <v>1.3246753246753247</v>
      </c>
      <c r="AB292" s="177">
        <f t="shared" si="496"/>
        <v>2.029220779220779</v>
      </c>
      <c r="AC292" s="177">
        <f t="shared" si="497"/>
        <v>0.5644923258559621</v>
      </c>
      <c r="AD292" s="177"/>
      <c r="AE292" s="177">
        <f t="shared" si="498"/>
        <v>0.4595588235294118</v>
      </c>
      <c r="AF292" s="555">
        <f t="shared" si="499"/>
        <v>1837.5111111111114</v>
      </c>
      <c r="AG292" s="538">
        <f t="shared" si="500"/>
        <v>2.8952205882352939E-2</v>
      </c>
      <c r="AI292" s="177">
        <f t="shared" si="501"/>
        <v>0.68738843250585557</v>
      </c>
      <c r="AJ292" s="177">
        <f t="shared" si="502"/>
        <v>0.68738843250585557</v>
      </c>
      <c r="AK292" s="177">
        <f t="shared" si="503"/>
        <v>1.4582589550039038</v>
      </c>
      <c r="AM292" s="555">
        <f t="shared" si="504"/>
        <v>152.00000000000003</v>
      </c>
      <c r="AN292" s="469">
        <f t="shared" si="505"/>
        <v>350</v>
      </c>
      <c r="AP292">
        <f t="shared" si="506"/>
        <v>152.00000000000003</v>
      </c>
      <c r="AQ292">
        <f t="shared" si="507"/>
        <v>350</v>
      </c>
      <c r="AS292" s="5">
        <f t="shared" si="479"/>
        <v>2.8571428571428572</v>
      </c>
      <c r="AT292" s="5">
        <f t="shared" si="508"/>
        <v>0.42961777031615972</v>
      </c>
      <c r="AU292" s="5">
        <f t="shared" si="440"/>
        <v>2.4275250868266975</v>
      </c>
      <c r="AV292" s="5"/>
      <c r="AW292" s="177">
        <f t="shared" si="441"/>
        <v>0.15036621961065591</v>
      </c>
      <c r="AX292" s="177"/>
      <c r="BA292" s="469">
        <f t="shared" si="509"/>
        <v>5.4827721650935404</v>
      </c>
      <c r="BB292" s="469">
        <f t="shared" si="510"/>
        <v>0.95205250666666696</v>
      </c>
      <c r="BC292" s="5">
        <f t="shared" si="442"/>
        <v>8.5412919721680122E-2</v>
      </c>
      <c r="BD292" s="469">
        <f t="shared" si="511"/>
        <v>0</v>
      </c>
      <c r="BQ292" s="538">
        <f t="shared" si="512"/>
        <v>5.8064000000000011E-2</v>
      </c>
      <c r="CG292" s="571">
        <f t="shared" si="513"/>
        <v>-50</v>
      </c>
      <c r="CH292">
        <f t="shared" si="514"/>
        <v>-50</v>
      </c>
    </row>
    <row r="293" spans="5:86" x14ac:dyDescent="0.25">
      <c r="E293" s="174">
        <v>77</v>
      </c>
      <c r="F293" s="221">
        <f t="shared" si="515"/>
        <v>0.15400000000000003</v>
      </c>
      <c r="G293" s="221"/>
      <c r="H293" s="221">
        <f t="shared" si="481"/>
        <v>2.4640000000000004</v>
      </c>
      <c r="I293" s="551">
        <f t="shared" si="482"/>
        <v>48</v>
      </c>
      <c r="J293" s="451">
        <f t="shared" si="483"/>
        <v>19.584</v>
      </c>
      <c r="K293" s="451">
        <f t="shared" si="484"/>
        <v>67.584000000000003</v>
      </c>
      <c r="L293" s="451"/>
      <c r="M293" s="221">
        <f t="shared" si="485"/>
        <v>0.28977272727272724</v>
      </c>
      <c r="N293" s="176">
        <f t="shared" si="486"/>
        <v>9.6890727272727268</v>
      </c>
      <c r="O293" s="176">
        <f t="shared" si="478"/>
        <v>2.4640000000000004</v>
      </c>
      <c r="P293" s="221">
        <f t="shared" si="487"/>
        <v>0.60556704545454543</v>
      </c>
      <c r="Q293" s="221">
        <f t="shared" si="488"/>
        <v>16</v>
      </c>
      <c r="R293" s="221"/>
      <c r="S293" s="176">
        <f t="shared" si="489"/>
        <v>170.4645586173871</v>
      </c>
      <c r="T293" s="176">
        <f t="shared" si="490"/>
        <v>16</v>
      </c>
      <c r="U293" s="221">
        <f t="shared" si="491"/>
        <v>0.39366739288307923</v>
      </c>
      <c r="V293" s="221">
        <f t="shared" si="492"/>
        <v>0.24604212055192451</v>
      </c>
      <c r="W293" s="221">
        <f t="shared" si="493"/>
        <v>0.60304441311746204</v>
      </c>
      <c r="X293" s="201">
        <f t="shared" si="494"/>
        <v>350</v>
      </c>
      <c r="Y293" s="451">
        <f t="shared" si="480"/>
        <v>350</v>
      </c>
      <c r="AA293" s="221">
        <f t="shared" si="495"/>
        <v>1.3246753246753247</v>
      </c>
      <c r="AB293" s="177">
        <f t="shared" si="496"/>
        <v>2.029220779220779</v>
      </c>
      <c r="AC293" s="177">
        <f t="shared" si="497"/>
        <v>0.5644923258559621</v>
      </c>
      <c r="AD293" s="177"/>
      <c r="AE293" s="177">
        <f t="shared" si="498"/>
        <v>0.4595588235294118</v>
      </c>
      <c r="AF293" s="555">
        <f t="shared" si="499"/>
        <v>1861.6888888888896</v>
      </c>
      <c r="AG293" s="538">
        <f t="shared" si="500"/>
        <v>2.8952205882352939E-2</v>
      </c>
      <c r="AI293" s="177">
        <f t="shared" si="501"/>
        <v>0.69189594593406889</v>
      </c>
      <c r="AJ293" s="177">
        <f t="shared" si="502"/>
        <v>0.69189594593406889</v>
      </c>
      <c r="AK293" s="177">
        <f t="shared" si="503"/>
        <v>1.4612639639560459</v>
      </c>
      <c r="AM293" s="555">
        <f t="shared" si="504"/>
        <v>154.00000000000003</v>
      </c>
      <c r="AN293" s="469">
        <f t="shared" si="505"/>
        <v>350</v>
      </c>
      <c r="AP293">
        <f t="shared" si="506"/>
        <v>154.00000000000003</v>
      </c>
      <c r="AQ293">
        <f t="shared" si="507"/>
        <v>350</v>
      </c>
      <c r="AS293" s="5">
        <f t="shared" si="479"/>
        <v>2.8571428571428572</v>
      </c>
      <c r="AT293" s="5">
        <f t="shared" si="508"/>
        <v>0.43243496620879307</v>
      </c>
      <c r="AU293" s="5">
        <f t="shared" si="440"/>
        <v>2.424707890934064</v>
      </c>
      <c r="AV293" s="5"/>
      <c r="AW293" s="177">
        <f t="shared" si="441"/>
        <v>0.15135223817307758</v>
      </c>
      <c r="AX293" s="177"/>
      <c r="BA293" s="469">
        <f t="shared" si="509"/>
        <v>5.4827721650935404</v>
      </c>
      <c r="BB293" s="469">
        <f t="shared" si="510"/>
        <v>0.97119240166666698</v>
      </c>
      <c r="BC293" s="5">
        <f t="shared" si="442"/>
        <v>8.6436346112001364E-2</v>
      </c>
      <c r="BD293" s="469">
        <f t="shared" si="511"/>
        <v>0</v>
      </c>
      <c r="BQ293" s="538">
        <f t="shared" si="512"/>
        <v>5.8828000000000012E-2</v>
      </c>
      <c r="CG293" s="571">
        <f t="shared" si="513"/>
        <v>-50</v>
      </c>
      <c r="CH293">
        <f t="shared" si="514"/>
        <v>-50</v>
      </c>
    </row>
    <row r="294" spans="5:86" x14ac:dyDescent="0.25">
      <c r="E294" s="174">
        <v>78</v>
      </c>
      <c r="F294" s="221">
        <f t="shared" si="515"/>
        <v>0.15600000000000003</v>
      </c>
      <c r="G294" s="221"/>
      <c r="H294" s="221">
        <f t="shared" si="481"/>
        <v>2.4960000000000004</v>
      </c>
      <c r="I294" s="551">
        <f t="shared" si="482"/>
        <v>48</v>
      </c>
      <c r="J294" s="451">
        <f t="shared" si="483"/>
        <v>19.584</v>
      </c>
      <c r="K294" s="451">
        <f t="shared" si="484"/>
        <v>67.584000000000003</v>
      </c>
      <c r="L294" s="451"/>
      <c r="M294" s="221">
        <f t="shared" si="485"/>
        <v>0.28977272727272724</v>
      </c>
      <c r="N294" s="176">
        <f t="shared" si="486"/>
        <v>9.6890727272727268</v>
      </c>
      <c r="O294" s="176">
        <f t="shared" si="478"/>
        <v>2.4960000000000004</v>
      </c>
      <c r="P294" s="221">
        <f t="shared" si="487"/>
        <v>0.60556704545454543</v>
      </c>
      <c r="Q294" s="221">
        <f t="shared" si="488"/>
        <v>16</v>
      </c>
      <c r="R294" s="221"/>
      <c r="S294" s="176">
        <f t="shared" si="489"/>
        <v>167.76845807257038</v>
      </c>
      <c r="T294" s="176">
        <f t="shared" si="490"/>
        <v>16</v>
      </c>
      <c r="U294" s="221">
        <f t="shared" si="491"/>
        <v>0.39877995642701536</v>
      </c>
      <c r="V294" s="221">
        <f t="shared" si="492"/>
        <v>0.2492374727668846</v>
      </c>
      <c r="W294" s="221">
        <f t="shared" si="493"/>
        <v>0.61087615874236423</v>
      </c>
      <c r="X294" s="201">
        <f t="shared" si="494"/>
        <v>350</v>
      </c>
      <c r="Y294" s="451">
        <f t="shared" si="480"/>
        <v>350</v>
      </c>
      <c r="AA294" s="221">
        <f t="shared" si="495"/>
        <v>1.3246753246753247</v>
      </c>
      <c r="AB294" s="177">
        <f t="shared" si="496"/>
        <v>2.029220779220779</v>
      </c>
      <c r="AC294" s="177">
        <f t="shared" si="497"/>
        <v>0.5644923258559621</v>
      </c>
      <c r="AD294" s="177"/>
      <c r="AE294" s="177">
        <f t="shared" si="498"/>
        <v>0.4595588235294118</v>
      </c>
      <c r="AF294" s="555">
        <f t="shared" si="499"/>
        <v>1885.8666666666672</v>
      </c>
      <c r="AG294" s="538">
        <f t="shared" si="500"/>
        <v>2.8952205882352939E-2</v>
      </c>
      <c r="AI294" s="177">
        <f t="shared" si="501"/>
        <v>0.69637428359836995</v>
      </c>
      <c r="AJ294" s="177">
        <f t="shared" si="502"/>
        <v>0.69637428359836995</v>
      </c>
      <c r="AK294" s="177">
        <f t="shared" si="503"/>
        <v>1.4642495223989134</v>
      </c>
      <c r="AM294" s="555">
        <f t="shared" si="504"/>
        <v>156.00000000000003</v>
      </c>
      <c r="AN294" s="469">
        <f t="shared" si="505"/>
        <v>350</v>
      </c>
      <c r="AP294">
        <f t="shared" si="506"/>
        <v>156.00000000000003</v>
      </c>
      <c r="AQ294">
        <f t="shared" si="507"/>
        <v>350</v>
      </c>
      <c r="AS294" s="5">
        <f t="shared" si="479"/>
        <v>2.8571428571428572</v>
      </c>
      <c r="AT294" s="5">
        <f t="shared" si="508"/>
        <v>0.4352339272489813</v>
      </c>
      <c r="AU294" s="5">
        <f t="shared" si="440"/>
        <v>2.4219089298938759</v>
      </c>
      <c r="AV294" s="5"/>
      <c r="AW294" s="177">
        <f t="shared" si="441"/>
        <v>0.15233187453714345</v>
      </c>
      <c r="AX294" s="177"/>
      <c r="BA294" s="469">
        <f t="shared" si="509"/>
        <v>5.4827721650935404</v>
      </c>
      <c r="BB294" s="469">
        <f t="shared" si="510"/>
        <v>0.99050406000000035</v>
      </c>
      <c r="BC294" s="5">
        <f t="shared" si="442"/>
        <v>8.745782246838997E-2</v>
      </c>
      <c r="BD294" s="469">
        <f t="shared" si="511"/>
        <v>0</v>
      </c>
      <c r="BQ294" s="538">
        <f t="shared" si="512"/>
        <v>5.9592000000000006E-2</v>
      </c>
      <c r="CG294" s="571">
        <f t="shared" si="513"/>
        <v>-50</v>
      </c>
      <c r="CH294">
        <f t="shared" si="514"/>
        <v>-50</v>
      </c>
    </row>
    <row r="295" spans="5:86" x14ac:dyDescent="0.25">
      <c r="E295" s="174">
        <v>79</v>
      </c>
      <c r="F295" s="221">
        <f t="shared" si="515"/>
        <v>0.15800000000000003</v>
      </c>
      <c r="G295" s="221"/>
      <c r="H295" s="221">
        <f t="shared" si="481"/>
        <v>2.5280000000000005</v>
      </c>
      <c r="I295" s="551">
        <f t="shared" si="482"/>
        <v>48</v>
      </c>
      <c r="J295" s="451">
        <f t="shared" si="483"/>
        <v>19.584</v>
      </c>
      <c r="K295" s="451">
        <f t="shared" si="484"/>
        <v>67.584000000000003</v>
      </c>
      <c r="L295" s="451"/>
      <c r="M295" s="221">
        <f t="shared" si="485"/>
        <v>0.28977272727272724</v>
      </c>
      <c r="N295" s="176">
        <f t="shared" si="486"/>
        <v>9.6890727272727268</v>
      </c>
      <c r="O295" s="176">
        <f t="shared" si="478"/>
        <v>2.5280000000000005</v>
      </c>
      <c r="P295" s="221">
        <f t="shared" si="487"/>
        <v>0.60556704545454543</v>
      </c>
      <c r="Q295" s="221">
        <f t="shared" si="488"/>
        <v>16</v>
      </c>
      <c r="R295" s="221"/>
      <c r="S295" s="176">
        <f t="shared" si="489"/>
        <v>165.1406509219361</v>
      </c>
      <c r="T295" s="176">
        <f t="shared" si="490"/>
        <v>16</v>
      </c>
      <c r="U295" s="221">
        <f t="shared" si="491"/>
        <v>0.40389251997095144</v>
      </c>
      <c r="V295" s="221">
        <f t="shared" si="492"/>
        <v>0.25243282498184466</v>
      </c>
      <c r="W295" s="221">
        <f t="shared" si="493"/>
        <v>0.61870790436726641</v>
      </c>
      <c r="X295" s="201">
        <f t="shared" si="494"/>
        <v>350</v>
      </c>
      <c r="Y295" s="451">
        <f t="shared" si="480"/>
        <v>350</v>
      </c>
      <c r="AA295" s="221">
        <f t="shared" si="495"/>
        <v>1.3246753246753247</v>
      </c>
      <c r="AB295" s="177">
        <f t="shared" si="496"/>
        <v>2.029220779220779</v>
      </c>
      <c r="AC295" s="177">
        <f t="shared" si="497"/>
        <v>0.5644923258559621</v>
      </c>
      <c r="AD295" s="177"/>
      <c r="AE295" s="177">
        <f t="shared" si="498"/>
        <v>0.4595588235294118</v>
      </c>
      <c r="AF295" s="555">
        <f t="shared" si="499"/>
        <v>1910.0444444444449</v>
      </c>
      <c r="AG295" s="538">
        <f t="shared" si="500"/>
        <v>2.8952205882352939E-2</v>
      </c>
      <c r="AI295" s="177">
        <f t="shared" si="501"/>
        <v>0.70082400480740226</v>
      </c>
      <c r="AJ295" s="177">
        <f t="shared" si="502"/>
        <v>0.70082400480740226</v>
      </c>
      <c r="AK295" s="177">
        <f t="shared" si="503"/>
        <v>1.4672160032049348</v>
      </c>
      <c r="AM295" s="555">
        <f t="shared" si="504"/>
        <v>158.00000000000003</v>
      </c>
      <c r="AN295" s="469">
        <f t="shared" si="505"/>
        <v>350</v>
      </c>
      <c r="AP295">
        <f t="shared" si="506"/>
        <v>158.00000000000003</v>
      </c>
      <c r="AQ295">
        <f t="shared" si="507"/>
        <v>350</v>
      </c>
      <c r="AS295" s="5">
        <f t="shared" si="479"/>
        <v>2.8571428571428572</v>
      </c>
      <c r="AT295" s="5">
        <f t="shared" si="508"/>
        <v>0.43801500300462642</v>
      </c>
      <c r="AU295" s="5">
        <f t="shared" si="440"/>
        <v>2.4191278541382308</v>
      </c>
      <c r="AV295" s="5"/>
      <c r="AW295" s="177">
        <f t="shared" si="441"/>
        <v>0.15330525105161924</v>
      </c>
      <c r="AX295" s="177"/>
      <c r="BA295" s="469">
        <f t="shared" si="509"/>
        <v>5.4827721650935404</v>
      </c>
      <c r="BB295" s="469">
        <f t="shared" si="510"/>
        <v>1.0099874816666672</v>
      </c>
      <c r="BC295" s="5">
        <f t="shared" si="442"/>
        <v>8.847736133190752E-2</v>
      </c>
      <c r="BD295" s="469">
        <f t="shared" si="511"/>
        <v>0</v>
      </c>
      <c r="BQ295" s="538">
        <f t="shared" si="512"/>
        <v>6.0356000000000014E-2</v>
      </c>
      <c r="CG295" s="571">
        <f t="shared" si="513"/>
        <v>-50</v>
      </c>
      <c r="CH295">
        <f t="shared" si="514"/>
        <v>-50</v>
      </c>
    </row>
    <row r="296" spans="5:86" x14ac:dyDescent="0.25">
      <c r="E296" s="174">
        <v>80</v>
      </c>
      <c r="F296" s="221">
        <f t="shared" si="515"/>
        <v>0.16000000000000003</v>
      </c>
      <c r="G296" s="221"/>
      <c r="H296" s="221">
        <f t="shared" si="481"/>
        <v>2.5600000000000005</v>
      </c>
      <c r="I296" s="551">
        <f t="shared" si="482"/>
        <v>48</v>
      </c>
      <c r="J296" s="451">
        <f t="shared" si="483"/>
        <v>19.584</v>
      </c>
      <c r="K296" s="451">
        <f t="shared" si="484"/>
        <v>67.584000000000003</v>
      </c>
      <c r="L296" s="451"/>
      <c r="M296" s="221">
        <f t="shared" si="485"/>
        <v>0.28977272727272724</v>
      </c>
      <c r="N296" s="176">
        <f t="shared" si="486"/>
        <v>9.6890727272727268</v>
      </c>
      <c r="O296" s="176">
        <f t="shared" si="478"/>
        <v>2.5600000000000005</v>
      </c>
      <c r="P296" s="221">
        <f t="shared" si="487"/>
        <v>0.60556704545454543</v>
      </c>
      <c r="Q296" s="221">
        <f t="shared" si="488"/>
        <v>16</v>
      </c>
      <c r="R296" s="221"/>
      <c r="S296" s="176">
        <f t="shared" si="489"/>
        <v>162.57857650002231</v>
      </c>
      <c r="T296" s="176">
        <f t="shared" si="490"/>
        <v>16</v>
      </c>
      <c r="U296" s="221">
        <f t="shared" si="491"/>
        <v>0.40900508351488751</v>
      </c>
      <c r="V296" s="221">
        <f t="shared" si="492"/>
        <v>0.2556281771968047</v>
      </c>
      <c r="W296" s="221">
        <f t="shared" si="493"/>
        <v>0.62653964999216838</v>
      </c>
      <c r="X296" s="201">
        <f t="shared" si="494"/>
        <v>350</v>
      </c>
      <c r="Y296" s="451">
        <f t="shared" si="480"/>
        <v>350</v>
      </c>
      <c r="AA296" s="221">
        <f t="shared" si="495"/>
        <v>1.3246753246753247</v>
      </c>
      <c r="AB296" s="177">
        <f t="shared" si="496"/>
        <v>2.029220779220779</v>
      </c>
      <c r="AC296" s="177">
        <f t="shared" si="497"/>
        <v>0.5644923258559621</v>
      </c>
      <c r="AD296" s="177"/>
      <c r="AE296" s="177">
        <f t="shared" si="498"/>
        <v>0.4595588235294118</v>
      </c>
      <c r="AF296" s="555">
        <f t="shared" si="499"/>
        <v>1934.2222222222226</v>
      </c>
      <c r="AG296" s="538">
        <f t="shared" si="500"/>
        <v>2.8952205882352939E-2</v>
      </c>
      <c r="AI296" s="177">
        <f t="shared" si="501"/>
        <v>0.70524565122475491</v>
      </c>
      <c r="AJ296" s="177">
        <f t="shared" si="502"/>
        <v>0.70524565122475491</v>
      </c>
      <c r="AK296" s="177">
        <f t="shared" si="503"/>
        <v>1.47016376748317</v>
      </c>
      <c r="AM296" s="555">
        <f t="shared" si="504"/>
        <v>160.00000000000003</v>
      </c>
      <c r="AN296" s="469">
        <f t="shared" si="505"/>
        <v>350</v>
      </c>
      <c r="AP296">
        <f t="shared" si="506"/>
        <v>160.00000000000003</v>
      </c>
      <c r="AQ296">
        <f t="shared" si="507"/>
        <v>350</v>
      </c>
      <c r="AS296" s="5">
        <f t="shared" si="479"/>
        <v>2.8571428571428572</v>
      </c>
      <c r="AT296" s="5">
        <f t="shared" si="508"/>
        <v>0.44077853201547185</v>
      </c>
      <c r="AU296" s="5">
        <f t="shared" si="440"/>
        <v>2.4163643251273852</v>
      </c>
      <c r="AV296" s="5"/>
      <c r="AW296" s="177">
        <f t="shared" si="441"/>
        <v>0.15427248620541514</v>
      </c>
      <c r="AX296" s="177"/>
      <c r="BA296" s="469">
        <f t="shared" si="509"/>
        <v>5.4827721650935404</v>
      </c>
      <c r="BB296" s="469">
        <f t="shared" si="510"/>
        <v>1.0296426666666672</v>
      </c>
      <c r="BC296" s="5">
        <f t="shared" si="442"/>
        <v>8.949497500471798E-2</v>
      </c>
      <c r="BD296" s="469">
        <f t="shared" si="511"/>
        <v>0</v>
      </c>
      <c r="BQ296" s="538">
        <f t="shared" si="512"/>
        <v>6.1120000000000015E-2</v>
      </c>
      <c r="CG296" s="571">
        <f t="shared" si="513"/>
        <v>-50</v>
      </c>
      <c r="CH296">
        <f t="shared" si="514"/>
        <v>-50</v>
      </c>
    </row>
    <row r="297" spans="5:86" x14ac:dyDescent="0.25">
      <c r="E297" s="174">
        <v>81</v>
      </c>
      <c r="F297" s="221">
        <f t="shared" si="515"/>
        <v>0.16200000000000003</v>
      </c>
      <c r="G297" s="221"/>
      <c r="H297" s="221">
        <f t="shared" si="481"/>
        <v>2.5920000000000005</v>
      </c>
      <c r="I297" s="551">
        <f t="shared" si="482"/>
        <v>48</v>
      </c>
      <c r="J297" s="451">
        <f t="shared" si="483"/>
        <v>19.584</v>
      </c>
      <c r="K297" s="451">
        <f t="shared" si="484"/>
        <v>67.584000000000003</v>
      </c>
      <c r="L297" s="451"/>
      <c r="M297" s="221">
        <f t="shared" si="485"/>
        <v>0.28977272727272724</v>
      </c>
      <c r="N297" s="176">
        <f t="shared" si="486"/>
        <v>9.6890727272727268</v>
      </c>
      <c r="O297" s="176">
        <f t="shared" si="478"/>
        <v>2.5920000000000005</v>
      </c>
      <c r="P297" s="221">
        <f t="shared" si="487"/>
        <v>0.60556704545454543</v>
      </c>
      <c r="Q297" s="221">
        <f t="shared" si="488"/>
        <v>16</v>
      </c>
      <c r="R297" s="221"/>
      <c r="S297" s="176">
        <f t="shared" si="489"/>
        <v>160.07980059795756</v>
      </c>
      <c r="T297" s="176">
        <f t="shared" si="490"/>
        <v>16</v>
      </c>
      <c r="U297" s="221">
        <f t="shared" si="491"/>
        <v>0.41411764705882365</v>
      </c>
      <c r="V297" s="221">
        <f t="shared" si="492"/>
        <v>0.25882352941176479</v>
      </c>
      <c r="W297" s="221">
        <f t="shared" si="493"/>
        <v>0.63437139561707057</v>
      </c>
      <c r="X297" s="201">
        <f t="shared" si="494"/>
        <v>350</v>
      </c>
      <c r="Y297" s="451">
        <f t="shared" si="480"/>
        <v>350</v>
      </c>
      <c r="AA297" s="221">
        <f t="shared" si="495"/>
        <v>1.3246753246753247</v>
      </c>
      <c r="AB297" s="177">
        <f t="shared" si="496"/>
        <v>2.029220779220779</v>
      </c>
      <c r="AC297" s="177">
        <f t="shared" si="497"/>
        <v>0.5644923258559621</v>
      </c>
      <c r="AD297" s="177"/>
      <c r="AE297" s="177">
        <f t="shared" si="498"/>
        <v>0.4595588235294118</v>
      </c>
      <c r="AF297" s="555">
        <f t="shared" si="499"/>
        <v>1958.4000000000005</v>
      </c>
      <c r="AG297" s="538">
        <f t="shared" si="500"/>
        <v>2.8952205882352939E-2</v>
      </c>
      <c r="AI297" s="177">
        <f t="shared" si="501"/>
        <v>0.70963974763859694</v>
      </c>
      <c r="AJ297" s="177">
        <f t="shared" si="502"/>
        <v>0.70963974763859694</v>
      </c>
      <c r="AK297" s="177">
        <f t="shared" si="503"/>
        <v>1.473093165092398</v>
      </c>
      <c r="AM297" s="555">
        <f t="shared" si="504"/>
        <v>162.00000000000003</v>
      </c>
      <c r="AN297" s="469">
        <f t="shared" si="505"/>
        <v>350</v>
      </c>
      <c r="AP297">
        <f t="shared" si="506"/>
        <v>162.00000000000003</v>
      </c>
      <c r="AQ297">
        <f t="shared" si="507"/>
        <v>350</v>
      </c>
      <c r="AS297" s="5">
        <f t="shared" si="479"/>
        <v>2.8571428571428572</v>
      </c>
      <c r="AT297" s="5">
        <f t="shared" si="508"/>
        <v>0.44352484227412314</v>
      </c>
      <c r="AU297" s="5">
        <f t="shared" si="440"/>
        <v>2.4136180148687343</v>
      </c>
      <c r="AV297" s="5"/>
      <c r="AW297" s="177">
        <f t="shared" si="441"/>
        <v>0.15523369479594309</v>
      </c>
      <c r="AX297" s="177"/>
      <c r="BA297" s="469">
        <f t="shared" si="509"/>
        <v>5.4827721650935404</v>
      </c>
      <c r="BB297" s="469">
        <f t="shared" si="510"/>
        <v>1.0494696150000005</v>
      </c>
      <c r="BC297" s="5">
        <f t="shared" si="442"/>
        <v>9.0510675557577525E-2</v>
      </c>
      <c r="BD297" s="469">
        <f t="shared" si="511"/>
        <v>0</v>
      </c>
      <c r="BQ297" s="538">
        <f t="shared" si="512"/>
        <v>6.1884000000000008E-2</v>
      </c>
      <c r="CG297" s="571">
        <f t="shared" si="513"/>
        <v>-50</v>
      </c>
      <c r="CH297">
        <f t="shared" si="514"/>
        <v>-50</v>
      </c>
    </row>
    <row r="298" spans="5:86" x14ac:dyDescent="0.25">
      <c r="E298" s="174">
        <v>82</v>
      </c>
      <c r="F298" s="221">
        <f t="shared" si="515"/>
        <v>0.16400000000000001</v>
      </c>
      <c r="G298" s="221"/>
      <c r="H298" s="221">
        <f t="shared" si="481"/>
        <v>2.6240000000000001</v>
      </c>
      <c r="I298" s="551">
        <f t="shared" si="482"/>
        <v>48</v>
      </c>
      <c r="J298" s="451">
        <f t="shared" si="483"/>
        <v>19.584</v>
      </c>
      <c r="K298" s="451">
        <f t="shared" si="484"/>
        <v>67.584000000000003</v>
      </c>
      <c r="L298" s="451"/>
      <c r="M298" s="221">
        <f t="shared" si="485"/>
        <v>0.28977272727272724</v>
      </c>
      <c r="N298" s="176">
        <f t="shared" si="486"/>
        <v>9.6890727272727268</v>
      </c>
      <c r="O298" s="176">
        <f t="shared" si="478"/>
        <v>2.6240000000000001</v>
      </c>
      <c r="P298" s="221">
        <f t="shared" si="487"/>
        <v>0.60556704545454543</v>
      </c>
      <c r="Q298" s="221">
        <f t="shared" si="488"/>
        <v>16</v>
      </c>
      <c r="R298" s="221"/>
      <c r="S298" s="176">
        <f t="shared" si="489"/>
        <v>157.64200775275111</v>
      </c>
      <c r="T298" s="176">
        <f t="shared" si="490"/>
        <v>16</v>
      </c>
      <c r="U298" s="221">
        <f t="shared" si="491"/>
        <v>0.41923021060275967</v>
      </c>
      <c r="V298" s="221">
        <f t="shared" si="492"/>
        <v>0.26201888162672476</v>
      </c>
      <c r="W298" s="221">
        <f t="shared" si="493"/>
        <v>0.64220314124197253</v>
      </c>
      <c r="X298" s="201">
        <f t="shared" si="494"/>
        <v>350</v>
      </c>
      <c r="Y298" s="451">
        <f t="shared" si="480"/>
        <v>350</v>
      </c>
      <c r="AA298" s="221">
        <f t="shared" si="495"/>
        <v>1.3246753246753247</v>
      </c>
      <c r="AB298" s="177">
        <f t="shared" si="496"/>
        <v>2.029220779220779</v>
      </c>
      <c r="AC298" s="177">
        <f t="shared" si="497"/>
        <v>0.5644923258559621</v>
      </c>
      <c r="AD298" s="177"/>
      <c r="AE298" s="177">
        <f t="shared" si="498"/>
        <v>0.4595588235294118</v>
      </c>
      <c r="AF298" s="555">
        <f t="shared" si="499"/>
        <v>1982.577777777778</v>
      </c>
      <c r="AG298" s="538">
        <f t="shared" si="500"/>
        <v>2.8952205882352939E-2</v>
      </c>
      <c r="AI298" s="177">
        <f t="shared" si="501"/>
        <v>0.71400680268868189</v>
      </c>
      <c r="AJ298" s="177">
        <f t="shared" si="502"/>
        <v>0.71400680268868189</v>
      </c>
      <c r="AK298" s="177">
        <f t="shared" si="503"/>
        <v>1.476004535125788</v>
      </c>
      <c r="AM298" s="555">
        <f t="shared" si="504"/>
        <v>164</v>
      </c>
      <c r="AN298" s="469">
        <f t="shared" si="505"/>
        <v>350</v>
      </c>
      <c r="AP298">
        <f t="shared" si="506"/>
        <v>164</v>
      </c>
      <c r="AQ298">
        <f t="shared" si="507"/>
        <v>350</v>
      </c>
      <c r="AS298" s="5">
        <f t="shared" si="479"/>
        <v>2.8571428571428572</v>
      </c>
      <c r="AT298" s="5">
        <f t="shared" si="508"/>
        <v>0.44625425168042621</v>
      </c>
      <c r="AU298" s="5">
        <f t="shared" ref="AU298:AU316" si="516">AS298-AT298</f>
        <v>2.4108886054624312</v>
      </c>
      <c r="AV298" s="5"/>
      <c r="AW298" s="177">
        <f t="shared" ref="AW298:AW316" si="517">AT298/AS298</f>
        <v>0.15618898808814916</v>
      </c>
      <c r="AX298" s="177"/>
      <c r="BA298" s="469">
        <f t="shared" si="509"/>
        <v>5.4827721650935404</v>
      </c>
      <c r="BB298" s="469">
        <f t="shared" si="510"/>
        <v>1.0694683266666667</v>
      </c>
      <c r="BC298" s="5">
        <f t="shared" si="442"/>
        <v>9.15244748369997E-2</v>
      </c>
      <c r="BD298" s="469">
        <f t="shared" si="511"/>
        <v>0</v>
      </c>
      <c r="BQ298" s="538">
        <f t="shared" si="512"/>
        <v>6.2648000000000009E-2</v>
      </c>
      <c r="CG298" s="571">
        <f t="shared" si="513"/>
        <v>-50</v>
      </c>
      <c r="CH298">
        <f t="shared" si="514"/>
        <v>-50</v>
      </c>
    </row>
    <row r="299" spans="5:86" x14ac:dyDescent="0.25">
      <c r="E299" s="174">
        <v>83</v>
      </c>
      <c r="F299" s="221">
        <f t="shared" si="515"/>
        <v>0.16600000000000001</v>
      </c>
      <c r="G299" s="221"/>
      <c r="H299" s="221">
        <f t="shared" si="481"/>
        <v>2.6560000000000001</v>
      </c>
      <c r="I299" s="551">
        <f t="shared" si="482"/>
        <v>48</v>
      </c>
      <c r="J299" s="451">
        <f t="shared" si="483"/>
        <v>19.584</v>
      </c>
      <c r="K299" s="451">
        <f t="shared" si="484"/>
        <v>67.584000000000003</v>
      </c>
      <c r="L299" s="451"/>
      <c r="M299" s="221">
        <f t="shared" si="485"/>
        <v>0.28977272727272724</v>
      </c>
      <c r="N299" s="176">
        <f t="shared" si="486"/>
        <v>9.6890727272727268</v>
      </c>
      <c r="O299" s="176">
        <f t="shared" si="478"/>
        <v>2.6560000000000001</v>
      </c>
      <c r="P299" s="221">
        <f t="shared" si="487"/>
        <v>0.60556704545454543</v>
      </c>
      <c r="Q299" s="221">
        <f t="shared" si="488"/>
        <v>16</v>
      </c>
      <c r="R299" s="221"/>
      <c r="S299" s="176">
        <f t="shared" si="489"/>
        <v>155.26299409398487</v>
      </c>
      <c r="T299" s="176">
        <f t="shared" si="490"/>
        <v>16</v>
      </c>
      <c r="U299" s="221">
        <f t="shared" si="491"/>
        <v>0.42434277414669574</v>
      </c>
      <c r="V299" s="221">
        <f t="shared" si="492"/>
        <v>0.2652142338416848</v>
      </c>
      <c r="W299" s="221">
        <f t="shared" si="493"/>
        <v>0.65003488686687461</v>
      </c>
      <c r="X299" s="201">
        <f t="shared" si="494"/>
        <v>350</v>
      </c>
      <c r="Y299" s="451">
        <f t="shared" si="480"/>
        <v>350</v>
      </c>
      <c r="AA299" s="221">
        <f t="shared" si="495"/>
        <v>1.3246753246753247</v>
      </c>
      <c r="AB299" s="177">
        <f t="shared" si="496"/>
        <v>2.029220779220779</v>
      </c>
      <c r="AC299" s="177">
        <f t="shared" si="497"/>
        <v>0.5644923258559621</v>
      </c>
      <c r="AD299" s="177"/>
      <c r="AE299" s="177">
        <f t="shared" si="498"/>
        <v>0.4595588235294118</v>
      </c>
      <c r="AF299" s="555">
        <f t="shared" si="499"/>
        <v>2006.7555555555557</v>
      </c>
      <c r="AG299" s="538">
        <f t="shared" si="500"/>
        <v>2.8952205882352939E-2</v>
      </c>
      <c r="AI299" s="177">
        <f t="shared" si="501"/>
        <v>0.71834730955357318</v>
      </c>
      <c r="AJ299" s="177">
        <f t="shared" si="502"/>
        <v>0.71834730955357318</v>
      </c>
      <c r="AK299" s="177">
        <f t="shared" si="503"/>
        <v>1.4788982063690488</v>
      </c>
      <c r="AM299" s="555">
        <f t="shared" si="504"/>
        <v>166</v>
      </c>
      <c r="AN299" s="469">
        <f t="shared" si="505"/>
        <v>350</v>
      </c>
      <c r="AP299">
        <f t="shared" si="506"/>
        <v>166</v>
      </c>
      <c r="AQ299">
        <f t="shared" si="507"/>
        <v>350</v>
      </c>
      <c r="AS299" s="5">
        <f t="shared" si="479"/>
        <v>2.8571428571428572</v>
      </c>
      <c r="AT299" s="5">
        <f t="shared" si="508"/>
        <v>0.44896706847098322</v>
      </c>
      <c r="AU299" s="5">
        <f t="shared" si="516"/>
        <v>2.408175788671874</v>
      </c>
      <c r="AV299" s="5"/>
      <c r="AW299" s="177">
        <f t="shared" si="517"/>
        <v>0.15713847396484412</v>
      </c>
      <c r="AX299" s="177"/>
      <c r="BA299" s="469">
        <f t="shared" si="509"/>
        <v>5.4827721650935404</v>
      </c>
      <c r="BB299" s="469">
        <f t="shared" si="510"/>
        <v>1.0896388016666667</v>
      </c>
      <c r="BC299" s="5">
        <f t="shared" si="442"/>
        <v>9.2536384472113667E-2</v>
      </c>
      <c r="BD299" s="469">
        <f t="shared" si="511"/>
        <v>0</v>
      </c>
      <c r="BQ299" s="538">
        <f t="shared" si="512"/>
        <v>6.3411999999999996E-2</v>
      </c>
      <c r="CG299" s="571">
        <f t="shared" si="513"/>
        <v>-50</v>
      </c>
      <c r="CH299">
        <f t="shared" si="514"/>
        <v>-50</v>
      </c>
    </row>
    <row r="300" spans="5:86" x14ac:dyDescent="0.25">
      <c r="E300" s="174">
        <v>84</v>
      </c>
      <c r="F300" s="221">
        <f t="shared" si="515"/>
        <v>0.16800000000000001</v>
      </c>
      <c r="G300" s="221"/>
      <c r="H300" s="221">
        <f t="shared" si="481"/>
        <v>2.6880000000000002</v>
      </c>
      <c r="I300" s="551">
        <f t="shared" si="482"/>
        <v>48</v>
      </c>
      <c r="J300" s="451">
        <f t="shared" si="483"/>
        <v>19.584</v>
      </c>
      <c r="K300" s="451">
        <f t="shared" si="484"/>
        <v>67.584000000000003</v>
      </c>
      <c r="L300" s="451"/>
      <c r="M300" s="221">
        <f t="shared" si="485"/>
        <v>0.28977272727272724</v>
      </c>
      <c r="N300" s="176">
        <f t="shared" si="486"/>
        <v>9.6890727272727268</v>
      </c>
      <c r="O300" s="176">
        <f t="shared" si="478"/>
        <v>2.6880000000000002</v>
      </c>
      <c r="P300" s="221">
        <f t="shared" si="487"/>
        <v>0.60556704545454543</v>
      </c>
      <c r="Q300" s="221">
        <f t="shared" si="488"/>
        <v>16</v>
      </c>
      <c r="R300" s="221"/>
      <c r="S300" s="176">
        <f t="shared" si="489"/>
        <v>152.94066070145732</v>
      </c>
      <c r="T300" s="176">
        <f t="shared" si="490"/>
        <v>16</v>
      </c>
      <c r="U300" s="221">
        <f t="shared" si="491"/>
        <v>0.42945533769063188</v>
      </c>
      <c r="V300" s="221">
        <f t="shared" si="492"/>
        <v>0.26840958605664494</v>
      </c>
      <c r="W300" s="221">
        <f t="shared" si="493"/>
        <v>0.65786663249177679</v>
      </c>
      <c r="X300" s="201">
        <f t="shared" si="494"/>
        <v>350</v>
      </c>
      <c r="Y300" s="451">
        <f t="shared" si="480"/>
        <v>350</v>
      </c>
      <c r="AA300" s="221">
        <f t="shared" si="495"/>
        <v>1.3246753246753247</v>
      </c>
      <c r="AB300" s="177">
        <f t="shared" si="496"/>
        <v>2.029220779220779</v>
      </c>
      <c r="AC300" s="177">
        <f t="shared" si="497"/>
        <v>0.5644923258559621</v>
      </c>
      <c r="AD300" s="177"/>
      <c r="AE300" s="177">
        <f t="shared" si="498"/>
        <v>0.4595588235294118</v>
      </c>
      <c r="AF300" s="555">
        <f t="shared" si="499"/>
        <v>2030.9333333333336</v>
      </c>
      <c r="AG300" s="538">
        <f t="shared" si="500"/>
        <v>2.8952205882352939E-2</v>
      </c>
      <c r="AI300" s="177">
        <f t="shared" si="501"/>
        <v>0.7226617466007178</v>
      </c>
      <c r="AJ300" s="177">
        <f t="shared" si="502"/>
        <v>0.7226617466007178</v>
      </c>
      <c r="AK300" s="177">
        <f t="shared" si="503"/>
        <v>1.4817744977338119</v>
      </c>
      <c r="AM300" s="555">
        <f t="shared" si="504"/>
        <v>168</v>
      </c>
      <c r="AN300" s="469">
        <f t="shared" si="505"/>
        <v>350</v>
      </c>
      <c r="AP300">
        <f t="shared" si="506"/>
        <v>168</v>
      </c>
      <c r="AQ300">
        <f t="shared" si="507"/>
        <v>350</v>
      </c>
      <c r="AS300" s="5">
        <f t="shared" si="479"/>
        <v>2.8571428571428572</v>
      </c>
      <c r="AT300" s="5">
        <f t="shared" si="508"/>
        <v>0.45166359162544867</v>
      </c>
      <c r="AU300" s="5">
        <f t="shared" si="516"/>
        <v>2.4054792655174086</v>
      </c>
      <c r="AV300" s="5"/>
      <c r="AW300" s="177">
        <f t="shared" si="517"/>
        <v>0.15808225706890702</v>
      </c>
      <c r="AX300" s="177"/>
      <c r="BA300" s="469">
        <f t="shared" si="509"/>
        <v>5.4827721650935404</v>
      </c>
      <c r="BB300" s="469">
        <f t="shared" si="510"/>
        <v>1.1099810400000001</v>
      </c>
      <c r="BC300" s="5">
        <f t="shared" si="442"/>
        <v>9.3546415881232567E-2</v>
      </c>
      <c r="BD300" s="469">
        <f t="shared" si="511"/>
        <v>0</v>
      </c>
      <c r="BQ300" s="538">
        <f t="shared" si="512"/>
        <v>6.4176000000000011E-2</v>
      </c>
      <c r="CG300" s="571">
        <f t="shared" si="513"/>
        <v>-50</v>
      </c>
      <c r="CH300">
        <f t="shared" si="514"/>
        <v>-50</v>
      </c>
    </row>
    <row r="301" spans="5:86" x14ac:dyDescent="0.25">
      <c r="E301" s="174">
        <v>85</v>
      </c>
      <c r="F301" s="221">
        <f t="shared" si="515"/>
        <v>0.17</v>
      </c>
      <c r="G301" s="221"/>
      <c r="H301" s="221">
        <f t="shared" si="481"/>
        <v>2.72</v>
      </c>
      <c r="I301" s="551">
        <f t="shared" si="482"/>
        <v>48</v>
      </c>
      <c r="J301" s="451">
        <f t="shared" si="483"/>
        <v>19.584</v>
      </c>
      <c r="K301" s="451">
        <f t="shared" si="484"/>
        <v>67.584000000000003</v>
      </c>
      <c r="L301" s="451"/>
      <c r="M301" s="221">
        <f t="shared" si="485"/>
        <v>0.28977272727272724</v>
      </c>
      <c r="N301" s="176">
        <f t="shared" si="486"/>
        <v>9.6890727272727268</v>
      </c>
      <c r="O301" s="176">
        <f t="shared" si="478"/>
        <v>2.72</v>
      </c>
      <c r="P301" s="221">
        <f t="shared" si="487"/>
        <v>0.60556704545454543</v>
      </c>
      <c r="Q301" s="221">
        <f t="shared" si="488"/>
        <v>16</v>
      </c>
      <c r="R301" s="221"/>
      <c r="S301" s="176">
        <f t="shared" si="489"/>
        <v>150.6730074317002</v>
      </c>
      <c r="T301" s="176">
        <f t="shared" si="490"/>
        <v>16</v>
      </c>
      <c r="U301" s="221">
        <f t="shared" si="491"/>
        <v>0.43456790123456795</v>
      </c>
      <c r="V301" s="221">
        <f t="shared" si="492"/>
        <v>0.27160493827160498</v>
      </c>
      <c r="W301" s="221">
        <f t="shared" si="493"/>
        <v>0.66569837811667887</v>
      </c>
      <c r="X301" s="201">
        <f t="shared" si="494"/>
        <v>350</v>
      </c>
      <c r="Y301" s="451">
        <f t="shared" si="480"/>
        <v>350</v>
      </c>
      <c r="AA301" s="221">
        <f t="shared" si="495"/>
        <v>1.3246753246753247</v>
      </c>
      <c r="AB301" s="177">
        <f t="shared" si="496"/>
        <v>2.029220779220779</v>
      </c>
      <c r="AC301" s="177">
        <f t="shared" si="497"/>
        <v>0.5644923258559621</v>
      </c>
      <c r="AD301" s="177"/>
      <c r="AE301" s="177">
        <f t="shared" si="498"/>
        <v>0.4595588235294118</v>
      </c>
      <c r="AF301" s="555">
        <f t="shared" si="499"/>
        <v>2055.1111111111113</v>
      </c>
      <c r="AG301" s="538">
        <f t="shared" si="500"/>
        <v>2.8952205882352939E-2</v>
      </c>
      <c r="AI301" s="177">
        <f t="shared" si="501"/>
        <v>0.7269505780017943</v>
      </c>
      <c r="AJ301" s="177">
        <f t="shared" si="502"/>
        <v>0.7269505780017943</v>
      </c>
      <c r="AK301" s="177">
        <f t="shared" si="503"/>
        <v>1.4846337186678629</v>
      </c>
      <c r="AM301" s="555">
        <f t="shared" si="504"/>
        <v>170</v>
      </c>
      <c r="AN301" s="469">
        <f t="shared" si="505"/>
        <v>350</v>
      </c>
      <c r="AP301">
        <f t="shared" si="506"/>
        <v>170</v>
      </c>
      <c r="AQ301">
        <f t="shared" si="507"/>
        <v>350</v>
      </c>
      <c r="AS301" s="5">
        <f t="shared" si="479"/>
        <v>2.8571428571428572</v>
      </c>
      <c r="AT301" s="5">
        <f t="shared" si="508"/>
        <v>0.45434411125112145</v>
      </c>
      <c r="AU301" s="5">
        <f t="shared" si="516"/>
        <v>2.4027987458917357</v>
      </c>
      <c r="AV301" s="5"/>
      <c r="AW301" s="177">
        <f t="shared" si="517"/>
        <v>0.1590204389378925</v>
      </c>
      <c r="AX301" s="177"/>
      <c r="BA301" s="469">
        <f t="shared" si="509"/>
        <v>5.4827721650935404</v>
      </c>
      <c r="BB301" s="469">
        <f t="shared" si="510"/>
        <v>1.1304950416666668</v>
      </c>
      <c r="BC301" s="5">
        <f t="shared" si="442"/>
        <v>9.4554580278146991E-2</v>
      </c>
      <c r="BD301" s="469">
        <f t="shared" si="511"/>
        <v>0</v>
      </c>
      <c r="BQ301" s="538">
        <f t="shared" si="512"/>
        <v>6.4939999999999998E-2</v>
      </c>
      <c r="CG301" s="571">
        <f t="shared" si="513"/>
        <v>-50</v>
      </c>
      <c r="CH301">
        <f t="shared" si="514"/>
        <v>-50</v>
      </c>
    </row>
    <row r="302" spans="5:86" x14ac:dyDescent="0.25">
      <c r="E302" s="174">
        <v>86</v>
      </c>
      <c r="F302" s="221">
        <f t="shared" si="515"/>
        <v>0.17200000000000001</v>
      </c>
      <c r="G302" s="221"/>
      <c r="H302" s="221">
        <f t="shared" si="481"/>
        <v>2.7520000000000002</v>
      </c>
      <c r="I302" s="551">
        <f t="shared" si="482"/>
        <v>48</v>
      </c>
      <c r="J302" s="451">
        <f t="shared" si="483"/>
        <v>19.584</v>
      </c>
      <c r="K302" s="451">
        <f t="shared" si="484"/>
        <v>67.584000000000003</v>
      </c>
      <c r="L302" s="451"/>
      <c r="M302" s="221">
        <f t="shared" si="485"/>
        <v>0.28977272727272724</v>
      </c>
      <c r="N302" s="176">
        <f t="shared" si="486"/>
        <v>9.6890727272727268</v>
      </c>
      <c r="O302" s="176">
        <f t="shared" si="478"/>
        <v>2.7520000000000002</v>
      </c>
      <c r="P302" s="221">
        <f t="shared" si="487"/>
        <v>0.60556704545454543</v>
      </c>
      <c r="Q302" s="221">
        <f t="shared" si="488"/>
        <v>16</v>
      </c>
      <c r="R302" s="221"/>
      <c r="S302" s="176">
        <f t="shared" si="489"/>
        <v>148.45812717520425</v>
      </c>
      <c r="T302" s="176">
        <f t="shared" si="490"/>
        <v>16</v>
      </c>
      <c r="U302" s="221">
        <f t="shared" si="491"/>
        <v>0.43968046477850403</v>
      </c>
      <c r="V302" s="221">
        <f t="shared" si="492"/>
        <v>0.27480029048656501</v>
      </c>
      <c r="W302" s="221">
        <f t="shared" si="493"/>
        <v>0.67353012374158094</v>
      </c>
      <c r="X302" s="201">
        <f t="shared" si="494"/>
        <v>350</v>
      </c>
      <c r="Y302" s="451">
        <f t="shared" si="480"/>
        <v>350</v>
      </c>
      <c r="AA302" s="221">
        <f t="shared" si="495"/>
        <v>1.3246753246753247</v>
      </c>
      <c r="AB302" s="177">
        <f t="shared" si="496"/>
        <v>2.029220779220779</v>
      </c>
      <c r="AC302" s="177">
        <f t="shared" si="497"/>
        <v>0.5644923258559621</v>
      </c>
      <c r="AD302" s="177"/>
      <c r="AE302" s="177">
        <f t="shared" si="498"/>
        <v>0.4595588235294118</v>
      </c>
      <c r="AF302" s="555">
        <f t="shared" si="499"/>
        <v>2079.2888888888892</v>
      </c>
      <c r="AG302" s="538">
        <f t="shared" si="500"/>
        <v>2.8952205882352939E-2</v>
      </c>
      <c r="AI302" s="177">
        <f t="shared" si="501"/>
        <v>0.73121425431557729</v>
      </c>
      <c r="AJ302" s="177">
        <f t="shared" si="502"/>
        <v>0.73121425431557729</v>
      </c>
      <c r="AK302" s="177">
        <f t="shared" si="503"/>
        <v>1.4874761695437182</v>
      </c>
      <c r="AM302" s="555">
        <f t="shared" si="504"/>
        <v>172</v>
      </c>
      <c r="AN302" s="469">
        <f t="shared" si="505"/>
        <v>350</v>
      </c>
      <c r="AP302">
        <f t="shared" si="506"/>
        <v>172</v>
      </c>
      <c r="AQ302">
        <f t="shared" si="507"/>
        <v>350</v>
      </c>
      <c r="AS302" s="5">
        <f t="shared" si="479"/>
        <v>2.8571428571428572</v>
      </c>
      <c r="AT302" s="5">
        <f t="shared" si="508"/>
        <v>0.45700890894723584</v>
      </c>
      <c r="AU302" s="5">
        <f t="shared" si="516"/>
        <v>2.4001339481956214</v>
      </c>
      <c r="AV302" s="5"/>
      <c r="AW302" s="177">
        <f t="shared" si="517"/>
        <v>0.15995311813153254</v>
      </c>
      <c r="AX302" s="177"/>
      <c r="BA302" s="469">
        <f t="shared" si="509"/>
        <v>5.4827721650935404</v>
      </c>
      <c r="BB302" s="469">
        <f t="shared" si="510"/>
        <v>1.1511808066666669</v>
      </c>
      <c r="BC302" s="5">
        <f t="shared" si="442"/>
        <v>9.5560888678158998E-2</v>
      </c>
      <c r="BD302" s="469">
        <f t="shared" si="511"/>
        <v>0</v>
      </c>
      <c r="BQ302" s="538">
        <f t="shared" si="512"/>
        <v>6.5704000000000012E-2</v>
      </c>
      <c r="CG302" s="571">
        <f t="shared" si="513"/>
        <v>-50</v>
      </c>
      <c r="CH302">
        <f t="shared" si="514"/>
        <v>-50</v>
      </c>
    </row>
    <row r="303" spans="5:86" x14ac:dyDescent="0.25">
      <c r="E303" s="174">
        <v>87</v>
      </c>
      <c r="F303" s="221">
        <f t="shared" si="515"/>
        <v>0.17400000000000002</v>
      </c>
      <c r="G303" s="221"/>
      <c r="H303" s="221">
        <f t="shared" si="481"/>
        <v>2.7840000000000003</v>
      </c>
      <c r="I303" s="551">
        <f t="shared" si="482"/>
        <v>48</v>
      </c>
      <c r="J303" s="451">
        <f t="shared" si="483"/>
        <v>19.584</v>
      </c>
      <c r="K303" s="451">
        <f t="shared" si="484"/>
        <v>67.584000000000003</v>
      </c>
      <c r="L303" s="451"/>
      <c r="M303" s="221">
        <f t="shared" si="485"/>
        <v>0.28977272727272724</v>
      </c>
      <c r="N303" s="176">
        <f t="shared" si="486"/>
        <v>9.6890727272727268</v>
      </c>
      <c r="O303" s="176">
        <f t="shared" si="478"/>
        <v>2.7840000000000003</v>
      </c>
      <c r="P303" s="221">
        <f t="shared" si="487"/>
        <v>0.60556704545454543</v>
      </c>
      <c r="Q303" s="221">
        <f t="shared" si="488"/>
        <v>16</v>
      </c>
      <c r="R303" s="221"/>
      <c r="S303" s="176">
        <f t="shared" si="489"/>
        <v>146.29420050970023</v>
      </c>
      <c r="T303" s="176">
        <f t="shared" si="490"/>
        <v>16</v>
      </c>
      <c r="U303" s="221">
        <f t="shared" si="491"/>
        <v>0.44479302832244016</v>
      </c>
      <c r="V303" s="221">
        <f t="shared" si="492"/>
        <v>0.2779956427015251</v>
      </c>
      <c r="W303" s="221">
        <f t="shared" si="493"/>
        <v>0.68136186936648313</v>
      </c>
      <c r="X303" s="201">
        <f t="shared" si="494"/>
        <v>350</v>
      </c>
      <c r="Y303" s="451">
        <f t="shared" si="480"/>
        <v>350</v>
      </c>
      <c r="AA303" s="221">
        <f t="shared" si="495"/>
        <v>1.3246753246753247</v>
      </c>
      <c r="AB303" s="177">
        <f t="shared" si="496"/>
        <v>2.029220779220779</v>
      </c>
      <c r="AC303" s="177">
        <f t="shared" si="497"/>
        <v>0.5644923258559621</v>
      </c>
      <c r="AD303" s="177"/>
      <c r="AE303" s="177">
        <f t="shared" si="498"/>
        <v>0.4595588235294118</v>
      </c>
      <c r="AF303" s="555">
        <f t="shared" si="499"/>
        <v>2103.4666666666672</v>
      </c>
      <c r="AG303" s="538">
        <f t="shared" si="500"/>
        <v>2.8952205882352939E-2</v>
      </c>
      <c r="AI303" s="177">
        <f t="shared" si="501"/>
        <v>0.7354532130403868</v>
      </c>
      <c r="AJ303" s="177">
        <f t="shared" si="502"/>
        <v>0.7354532130403868</v>
      </c>
      <c r="AK303" s="177">
        <f t="shared" si="503"/>
        <v>1.4903021420269245</v>
      </c>
      <c r="AM303" s="555">
        <f t="shared" si="504"/>
        <v>174.00000000000003</v>
      </c>
      <c r="AN303" s="469">
        <f t="shared" si="505"/>
        <v>350</v>
      </c>
      <c r="AP303">
        <f t="shared" si="506"/>
        <v>174.00000000000003</v>
      </c>
      <c r="AQ303">
        <f t="shared" si="507"/>
        <v>350</v>
      </c>
      <c r="AS303" s="5">
        <f t="shared" si="479"/>
        <v>2.8571428571428572</v>
      </c>
      <c r="AT303" s="5">
        <f t="shared" si="508"/>
        <v>0.45965825815024181</v>
      </c>
      <c r="AU303" s="5">
        <f t="shared" si="516"/>
        <v>2.3974845989926155</v>
      </c>
      <c r="AV303" s="5"/>
      <c r="AW303" s="177">
        <f t="shared" si="517"/>
        <v>0.16088039035258464</v>
      </c>
      <c r="AX303" s="177"/>
      <c r="BA303" s="469">
        <f t="shared" si="509"/>
        <v>5.4827721650935404</v>
      </c>
      <c r="BB303" s="469">
        <f t="shared" si="510"/>
        <v>1.1720383350000003</v>
      </c>
      <c r="BC303" s="5">
        <f t="shared" si="442"/>
        <v>9.6565351903869251E-2</v>
      </c>
      <c r="BD303" s="469">
        <f t="shared" si="511"/>
        <v>0</v>
      </c>
      <c r="BQ303" s="538">
        <f t="shared" si="512"/>
        <v>6.6467999999999999E-2</v>
      </c>
      <c r="CG303" s="571">
        <f t="shared" si="513"/>
        <v>-50</v>
      </c>
      <c r="CH303">
        <f t="shared" si="514"/>
        <v>-50</v>
      </c>
    </row>
    <row r="304" spans="5:86" x14ac:dyDescent="0.25">
      <c r="E304" s="174">
        <v>88</v>
      </c>
      <c r="F304" s="221">
        <f t="shared" si="515"/>
        <v>0.17600000000000002</v>
      </c>
      <c r="G304" s="221"/>
      <c r="H304" s="221">
        <f t="shared" si="481"/>
        <v>2.8160000000000003</v>
      </c>
      <c r="I304" s="551">
        <f t="shared" si="482"/>
        <v>48</v>
      </c>
      <c r="J304" s="451">
        <f t="shared" si="483"/>
        <v>19.584</v>
      </c>
      <c r="K304" s="451">
        <f t="shared" si="484"/>
        <v>67.584000000000003</v>
      </c>
      <c r="L304" s="451"/>
      <c r="M304" s="221">
        <f t="shared" si="485"/>
        <v>0.28977272727272724</v>
      </c>
      <c r="N304" s="176">
        <f t="shared" si="486"/>
        <v>9.6890727272727268</v>
      </c>
      <c r="O304" s="176">
        <f t="shared" si="478"/>
        <v>2.8160000000000003</v>
      </c>
      <c r="P304" s="221">
        <f t="shared" si="487"/>
        <v>0.60556704545454543</v>
      </c>
      <c r="Q304" s="221">
        <f t="shared" si="488"/>
        <v>16</v>
      </c>
      <c r="R304" s="221"/>
      <c r="S304" s="176">
        <f t="shared" si="489"/>
        <v>144.17949071798887</v>
      </c>
      <c r="T304" s="176">
        <f t="shared" si="490"/>
        <v>16</v>
      </c>
      <c r="U304" s="221">
        <f t="shared" si="491"/>
        <v>0.44990559186637624</v>
      </c>
      <c r="V304" s="221">
        <f t="shared" si="492"/>
        <v>0.28119099491648514</v>
      </c>
      <c r="W304" s="221">
        <f t="shared" si="493"/>
        <v>0.68919361499138521</v>
      </c>
      <c r="X304" s="201">
        <f t="shared" si="494"/>
        <v>350</v>
      </c>
      <c r="Y304" s="451">
        <f t="shared" si="480"/>
        <v>350</v>
      </c>
      <c r="AA304" s="221">
        <f t="shared" si="495"/>
        <v>1.3246753246753247</v>
      </c>
      <c r="AB304" s="177">
        <f t="shared" si="496"/>
        <v>2.029220779220779</v>
      </c>
      <c r="AC304" s="177">
        <f t="shared" si="497"/>
        <v>0.5644923258559621</v>
      </c>
      <c r="AD304" s="177"/>
      <c r="AE304" s="177">
        <f t="shared" si="498"/>
        <v>0.4595588235294118</v>
      </c>
      <c r="AF304" s="555">
        <f t="shared" si="499"/>
        <v>2127.6444444444451</v>
      </c>
      <c r="AG304" s="538">
        <f t="shared" si="500"/>
        <v>2.8952205882352939E-2</v>
      </c>
      <c r="AI304" s="177">
        <f t="shared" si="501"/>
        <v>0.73966787913804366</v>
      </c>
      <c r="AJ304" s="177">
        <f t="shared" si="502"/>
        <v>0.73966787913804366</v>
      </c>
      <c r="AK304" s="177">
        <f t="shared" si="503"/>
        <v>1.4931119194253624</v>
      </c>
      <c r="AM304" s="555">
        <f t="shared" si="504"/>
        <v>176.00000000000003</v>
      </c>
      <c r="AN304" s="469">
        <f t="shared" si="505"/>
        <v>350</v>
      </c>
      <c r="AP304">
        <f t="shared" si="506"/>
        <v>176.00000000000003</v>
      </c>
      <c r="AQ304">
        <f t="shared" si="507"/>
        <v>350</v>
      </c>
      <c r="AS304" s="5">
        <f t="shared" si="479"/>
        <v>2.8571428571428572</v>
      </c>
      <c r="AT304" s="5">
        <f t="shared" si="508"/>
        <v>0.46229242446127733</v>
      </c>
      <c r="AU304" s="5">
        <f t="shared" si="516"/>
        <v>2.3948504326815798</v>
      </c>
      <c r="AV304" s="5"/>
      <c r="AW304" s="177">
        <f t="shared" si="517"/>
        <v>0.16180234856144707</v>
      </c>
      <c r="AX304" s="177"/>
      <c r="BA304" s="469">
        <f t="shared" si="509"/>
        <v>5.4827721650935404</v>
      </c>
      <c r="BB304" s="469">
        <f t="shared" si="510"/>
        <v>1.1930676266666669</v>
      </c>
      <c r="BC304" s="5">
        <f t="shared" si="442"/>
        <v>9.7567980590731046E-2</v>
      </c>
      <c r="BD304" s="469">
        <f t="shared" si="511"/>
        <v>0</v>
      </c>
      <c r="BQ304" s="538">
        <f t="shared" si="512"/>
        <v>6.7232E-2</v>
      </c>
      <c r="CG304" s="571">
        <f t="shared" si="513"/>
        <v>-50</v>
      </c>
      <c r="CH304">
        <f t="shared" si="514"/>
        <v>-50</v>
      </c>
    </row>
    <row r="305" spans="4:86" x14ac:dyDescent="0.25">
      <c r="E305" s="174">
        <v>89</v>
      </c>
      <c r="F305" s="221">
        <f t="shared" si="515"/>
        <v>0.17800000000000002</v>
      </c>
      <c r="G305" s="221"/>
      <c r="H305" s="221">
        <f t="shared" si="481"/>
        <v>2.8480000000000003</v>
      </c>
      <c r="I305" s="551">
        <f t="shared" si="482"/>
        <v>48</v>
      </c>
      <c r="J305" s="451">
        <f t="shared" si="483"/>
        <v>19.584</v>
      </c>
      <c r="K305" s="451">
        <f t="shared" si="484"/>
        <v>67.584000000000003</v>
      </c>
      <c r="L305" s="451"/>
      <c r="M305" s="221">
        <f t="shared" si="485"/>
        <v>0.28977272727272724</v>
      </c>
      <c r="N305" s="176">
        <f t="shared" si="486"/>
        <v>9.6890727272727268</v>
      </c>
      <c r="O305" s="176">
        <f t="shared" si="478"/>
        <v>2.8480000000000003</v>
      </c>
      <c r="P305" s="221">
        <f t="shared" si="487"/>
        <v>0.60556704545454543</v>
      </c>
      <c r="Q305" s="221">
        <f t="shared" si="488"/>
        <v>16</v>
      </c>
      <c r="R305" s="221"/>
      <c r="S305" s="176">
        <f t="shared" si="489"/>
        <v>142.11233914164933</v>
      </c>
      <c r="T305" s="176">
        <f t="shared" si="490"/>
        <v>16</v>
      </c>
      <c r="U305" s="221">
        <f t="shared" si="491"/>
        <v>0.45501815541031232</v>
      </c>
      <c r="V305" s="221">
        <f t="shared" si="492"/>
        <v>0.28438634713144523</v>
      </c>
      <c r="W305" s="221">
        <f t="shared" si="493"/>
        <v>0.69702536061628739</v>
      </c>
      <c r="X305" s="201">
        <f t="shared" si="494"/>
        <v>350</v>
      </c>
      <c r="Y305" s="451">
        <f t="shared" si="480"/>
        <v>350</v>
      </c>
      <c r="AA305" s="221">
        <f t="shared" si="495"/>
        <v>1.3246753246753247</v>
      </c>
      <c r="AB305" s="177">
        <f t="shared" si="496"/>
        <v>2.029220779220779</v>
      </c>
      <c r="AC305" s="177">
        <f t="shared" si="497"/>
        <v>0.5644923258559621</v>
      </c>
      <c r="AD305" s="177"/>
      <c r="AE305" s="177">
        <f t="shared" si="498"/>
        <v>0.4595588235294118</v>
      </c>
      <c r="AF305" s="555">
        <f t="shared" si="499"/>
        <v>2151.8222222222225</v>
      </c>
      <c r="AG305" s="538">
        <f t="shared" si="500"/>
        <v>2.8952205882352939E-2</v>
      </c>
      <c r="AI305" s="177">
        <f t="shared" si="501"/>
        <v>0.74385866553110369</v>
      </c>
      <c r="AJ305" s="177">
        <f t="shared" si="502"/>
        <v>0.74385866553110369</v>
      </c>
      <c r="AK305" s="177">
        <f t="shared" si="503"/>
        <v>1.4959057770207358</v>
      </c>
      <c r="AM305" s="555">
        <f t="shared" si="504"/>
        <v>178.00000000000003</v>
      </c>
      <c r="AN305" s="469">
        <f t="shared" si="505"/>
        <v>350</v>
      </c>
      <c r="AP305">
        <f t="shared" si="506"/>
        <v>178.00000000000003</v>
      </c>
      <c r="AQ305">
        <f t="shared" si="507"/>
        <v>350</v>
      </c>
      <c r="AS305" s="5">
        <f t="shared" si="479"/>
        <v>2.8571428571428572</v>
      </c>
      <c r="AT305" s="5">
        <f t="shared" si="508"/>
        <v>0.46491166595693983</v>
      </c>
      <c r="AU305" s="5">
        <f t="shared" si="516"/>
        <v>2.3922311911859175</v>
      </c>
      <c r="AV305" s="5"/>
      <c r="AW305" s="177">
        <f t="shared" si="517"/>
        <v>0.16271908308492894</v>
      </c>
      <c r="AX305" s="177"/>
      <c r="BA305" s="469">
        <f t="shared" si="509"/>
        <v>5.4827721650935404</v>
      </c>
      <c r="BB305" s="469">
        <f t="shared" si="510"/>
        <v>1.2142686816666668</v>
      </c>
      <c r="BC305" s="5">
        <f t="shared" si="442"/>
        <v>9.8568785192382713E-2</v>
      </c>
      <c r="BD305" s="469">
        <f t="shared" si="511"/>
        <v>0</v>
      </c>
      <c r="BQ305" s="538">
        <f t="shared" si="512"/>
        <v>6.7996000000000015E-2</v>
      </c>
      <c r="CG305" s="571">
        <f t="shared" si="513"/>
        <v>-50</v>
      </c>
      <c r="CH305">
        <f t="shared" si="514"/>
        <v>-50</v>
      </c>
    </row>
    <row r="306" spans="4:86" x14ac:dyDescent="0.25">
      <c r="E306" s="174">
        <v>90</v>
      </c>
      <c r="F306" s="221">
        <f t="shared" si="515"/>
        <v>0.18000000000000002</v>
      </c>
      <c r="G306" s="221"/>
      <c r="H306" s="221">
        <f t="shared" si="481"/>
        <v>2.8800000000000003</v>
      </c>
      <c r="I306" s="551">
        <f t="shared" si="482"/>
        <v>48</v>
      </c>
      <c r="J306" s="451">
        <f t="shared" si="483"/>
        <v>19.584</v>
      </c>
      <c r="K306" s="451">
        <f t="shared" si="484"/>
        <v>67.584000000000003</v>
      </c>
      <c r="L306" s="451"/>
      <c r="M306" s="221">
        <f t="shared" si="485"/>
        <v>0.28977272727272724</v>
      </c>
      <c r="N306" s="176">
        <f t="shared" si="486"/>
        <v>9.6890727272727268</v>
      </c>
      <c r="O306" s="176">
        <f t="shared" si="478"/>
        <v>2.8800000000000003</v>
      </c>
      <c r="P306" s="221">
        <f t="shared" si="487"/>
        <v>0.60556704545454543</v>
      </c>
      <c r="Q306" s="221">
        <f t="shared" si="488"/>
        <v>16</v>
      </c>
      <c r="R306" s="221"/>
      <c r="S306" s="176">
        <f t="shared" si="489"/>
        <v>140.09116084450136</v>
      </c>
      <c r="T306" s="176">
        <f t="shared" si="490"/>
        <v>16</v>
      </c>
      <c r="U306" s="221">
        <f t="shared" si="491"/>
        <v>0.46013071895424845</v>
      </c>
      <c r="V306" s="221">
        <f t="shared" si="492"/>
        <v>0.28758169934640532</v>
      </c>
      <c r="W306" s="221">
        <f t="shared" si="493"/>
        <v>0.70485710624118947</v>
      </c>
      <c r="X306" s="201">
        <f t="shared" si="494"/>
        <v>350</v>
      </c>
      <c r="Y306" s="451">
        <f t="shared" si="480"/>
        <v>350</v>
      </c>
      <c r="AA306" s="221">
        <f t="shared" si="495"/>
        <v>1.3246753246753247</v>
      </c>
      <c r="AB306" s="177">
        <f t="shared" si="496"/>
        <v>2.029220779220779</v>
      </c>
      <c r="AC306" s="177">
        <f t="shared" si="497"/>
        <v>0.5644923258559621</v>
      </c>
      <c r="AD306" s="177"/>
      <c r="AE306" s="177">
        <f t="shared" si="498"/>
        <v>0.4595588235294118</v>
      </c>
      <c r="AF306" s="555">
        <f t="shared" si="499"/>
        <v>2176.0000000000005</v>
      </c>
      <c r="AG306" s="538">
        <f t="shared" si="500"/>
        <v>2.8952205882352939E-2</v>
      </c>
      <c r="AI306" s="177">
        <f t="shared" si="501"/>
        <v>0.74802597357502043</v>
      </c>
      <c r="AJ306" s="177">
        <f t="shared" si="502"/>
        <v>0.74802597357502043</v>
      </c>
      <c r="AK306" s="177">
        <f t="shared" si="503"/>
        <v>1.4986839823833469</v>
      </c>
      <c r="AM306" s="555">
        <f t="shared" si="504"/>
        <v>180.00000000000003</v>
      </c>
      <c r="AN306" s="469">
        <f t="shared" si="505"/>
        <v>350</v>
      </c>
      <c r="AP306">
        <f t="shared" si="506"/>
        <v>180.00000000000003</v>
      </c>
      <c r="AQ306">
        <f t="shared" si="507"/>
        <v>350</v>
      </c>
      <c r="AS306" s="5">
        <f t="shared" si="479"/>
        <v>2.8571428571428572</v>
      </c>
      <c r="AT306" s="5">
        <f t="shared" si="508"/>
        <v>0.46751623348438781</v>
      </c>
      <c r="AU306" s="5">
        <f t="shared" si="516"/>
        <v>2.3896266236584696</v>
      </c>
      <c r="AV306" s="5"/>
      <c r="AW306" s="177">
        <f t="shared" si="517"/>
        <v>0.16363068171953574</v>
      </c>
      <c r="AX306" s="177"/>
      <c r="BA306" s="469">
        <f t="shared" si="509"/>
        <v>5.4827721650935404</v>
      </c>
      <c r="BB306" s="469">
        <f t="shared" si="510"/>
        <v>1.2356415000000003</v>
      </c>
      <c r="BC306" s="5">
        <f t="shared" si="442"/>
        <v>9.956777598576956E-2</v>
      </c>
      <c r="BD306" s="469">
        <f t="shared" si="511"/>
        <v>0</v>
      </c>
      <c r="BQ306" s="538">
        <f t="shared" si="512"/>
        <v>6.8760000000000002E-2</v>
      </c>
      <c r="CG306" s="571">
        <f t="shared" si="513"/>
        <v>-50</v>
      </c>
      <c r="CH306">
        <f t="shared" si="514"/>
        <v>-50</v>
      </c>
    </row>
    <row r="307" spans="4:86" x14ac:dyDescent="0.25">
      <c r="E307" s="174">
        <v>91</v>
      </c>
      <c r="F307" s="221">
        <f t="shared" si="515"/>
        <v>0.18200000000000002</v>
      </c>
      <c r="G307" s="221"/>
      <c r="H307" s="221">
        <f t="shared" si="481"/>
        <v>2.9120000000000004</v>
      </c>
      <c r="I307" s="551">
        <f t="shared" si="482"/>
        <v>48</v>
      </c>
      <c r="J307" s="451">
        <f t="shared" si="483"/>
        <v>19.584</v>
      </c>
      <c r="K307" s="451">
        <f t="shared" si="484"/>
        <v>67.584000000000003</v>
      </c>
      <c r="L307" s="451"/>
      <c r="M307" s="221">
        <f t="shared" si="485"/>
        <v>0.28977272727272724</v>
      </c>
      <c r="N307" s="176">
        <f t="shared" si="486"/>
        <v>9.6890727272727268</v>
      </c>
      <c r="O307" s="176">
        <f t="shared" si="478"/>
        <v>2.9120000000000004</v>
      </c>
      <c r="P307" s="221">
        <f t="shared" si="487"/>
        <v>0.60556704545454543</v>
      </c>
      <c r="Q307" s="221">
        <f t="shared" si="488"/>
        <v>16</v>
      </c>
      <c r="R307" s="221"/>
      <c r="S307" s="176">
        <f t="shared" si="489"/>
        <v>138.11444056199358</v>
      </c>
      <c r="T307" s="176">
        <f t="shared" si="490"/>
        <v>16</v>
      </c>
      <c r="U307" s="221">
        <f t="shared" si="491"/>
        <v>0.46524328249818453</v>
      </c>
      <c r="V307" s="221">
        <f t="shared" si="492"/>
        <v>0.29077705156136535</v>
      </c>
      <c r="W307" s="221">
        <f t="shared" si="493"/>
        <v>0.71268885186609154</v>
      </c>
      <c r="X307" s="201">
        <f t="shared" si="494"/>
        <v>350</v>
      </c>
      <c r="Y307" s="451">
        <f t="shared" si="480"/>
        <v>350</v>
      </c>
      <c r="AA307" s="221">
        <f t="shared" si="495"/>
        <v>1.3246753246753247</v>
      </c>
      <c r="AB307" s="177">
        <f t="shared" si="496"/>
        <v>2.029220779220779</v>
      </c>
      <c r="AC307" s="177">
        <f t="shared" si="497"/>
        <v>0.5644923258559621</v>
      </c>
      <c r="AD307" s="177"/>
      <c r="AE307" s="177">
        <f t="shared" si="498"/>
        <v>0.4595588235294118</v>
      </c>
      <c r="AF307" s="555">
        <f t="shared" si="499"/>
        <v>2200.1777777777784</v>
      </c>
      <c r="AG307" s="538">
        <f t="shared" si="500"/>
        <v>2.8952205882352939E-2</v>
      </c>
      <c r="AI307" s="177">
        <f t="shared" si="501"/>
        <v>0.75217019350676217</v>
      </c>
      <c r="AJ307" s="177">
        <f t="shared" si="502"/>
        <v>0.75217019350676217</v>
      </c>
      <c r="AK307" s="177">
        <f t="shared" si="503"/>
        <v>1.5014467956711748</v>
      </c>
      <c r="AM307" s="555">
        <f t="shared" si="504"/>
        <v>182.00000000000003</v>
      </c>
      <c r="AN307" s="469">
        <f t="shared" si="505"/>
        <v>350</v>
      </c>
      <c r="AP307">
        <f t="shared" si="506"/>
        <v>182.00000000000003</v>
      </c>
      <c r="AQ307">
        <f t="shared" si="507"/>
        <v>350</v>
      </c>
      <c r="AS307" s="5">
        <f t="shared" si="479"/>
        <v>2.8571428571428572</v>
      </c>
      <c r="AT307" s="5">
        <f t="shared" si="508"/>
        <v>0.47010637094172636</v>
      </c>
      <c r="AU307" s="5">
        <f t="shared" si="516"/>
        <v>2.3870364862011311</v>
      </c>
      <c r="AV307" s="5"/>
      <c r="AW307" s="177">
        <f t="shared" si="517"/>
        <v>0.16453722982960423</v>
      </c>
      <c r="AX307" s="177"/>
      <c r="BA307" s="469">
        <f t="shared" si="509"/>
        <v>5.4827721650935404</v>
      </c>
      <c r="BB307" s="469">
        <f t="shared" si="510"/>
        <v>1.2571860816666671</v>
      </c>
      <c r="BC307" s="5">
        <f t="shared" si="442"/>
        <v>0.10056496307606619</v>
      </c>
      <c r="BD307" s="469">
        <f t="shared" si="511"/>
        <v>0</v>
      </c>
      <c r="BQ307" s="538">
        <f t="shared" si="512"/>
        <v>6.9524000000000016E-2</v>
      </c>
      <c r="CG307" s="571">
        <f t="shared" si="513"/>
        <v>-50</v>
      </c>
      <c r="CH307">
        <f t="shared" si="514"/>
        <v>-50</v>
      </c>
    </row>
    <row r="308" spans="4:86" x14ac:dyDescent="0.25">
      <c r="E308" s="174">
        <v>92</v>
      </c>
      <c r="F308" s="221">
        <f t="shared" si="515"/>
        <v>0.18400000000000002</v>
      </c>
      <c r="G308" s="221"/>
      <c r="H308" s="221">
        <f t="shared" si="481"/>
        <v>2.9440000000000004</v>
      </c>
      <c r="I308" s="551">
        <f t="shared" si="482"/>
        <v>48</v>
      </c>
      <c r="J308" s="451">
        <f t="shared" si="483"/>
        <v>19.584</v>
      </c>
      <c r="K308" s="451">
        <f t="shared" si="484"/>
        <v>67.584000000000003</v>
      </c>
      <c r="L308" s="451"/>
      <c r="M308" s="221">
        <f t="shared" si="485"/>
        <v>0.28977272727272724</v>
      </c>
      <c r="N308" s="176">
        <f t="shared" si="486"/>
        <v>9.6890727272727268</v>
      </c>
      <c r="O308" s="176">
        <f t="shared" si="478"/>
        <v>2.9440000000000004</v>
      </c>
      <c r="P308" s="221">
        <f t="shared" si="487"/>
        <v>0.60556704545454543</v>
      </c>
      <c r="Q308" s="221">
        <f t="shared" si="488"/>
        <v>16</v>
      </c>
      <c r="R308" s="221"/>
      <c r="S308" s="176">
        <f t="shared" si="489"/>
        <v>136.18072891476416</v>
      </c>
      <c r="T308" s="176">
        <f t="shared" si="490"/>
        <v>16</v>
      </c>
      <c r="U308" s="221">
        <f t="shared" si="491"/>
        <v>0.47035584604212066</v>
      </c>
      <c r="V308" s="221">
        <f t="shared" si="492"/>
        <v>0.29397240377632544</v>
      </c>
      <c r="W308" s="221">
        <f t="shared" si="493"/>
        <v>0.72052059749099373</v>
      </c>
      <c r="X308" s="201">
        <f t="shared" si="494"/>
        <v>350</v>
      </c>
      <c r="Y308" s="451">
        <f t="shared" si="480"/>
        <v>350</v>
      </c>
      <c r="AA308" s="221">
        <f t="shared" si="495"/>
        <v>1.3246753246753247</v>
      </c>
      <c r="AB308" s="177">
        <f t="shared" si="496"/>
        <v>2.029220779220779</v>
      </c>
      <c r="AC308" s="177">
        <f t="shared" si="497"/>
        <v>0.5644923258559621</v>
      </c>
      <c r="AD308" s="177"/>
      <c r="AE308" s="177">
        <f t="shared" si="498"/>
        <v>0.4595588235294118</v>
      </c>
      <c r="AF308" s="555">
        <f t="shared" si="499"/>
        <v>2224.3555555555558</v>
      </c>
      <c r="AG308" s="538">
        <f t="shared" si="500"/>
        <v>2.8952205882352939E-2</v>
      </c>
      <c r="AI308" s="177">
        <f t="shared" si="501"/>
        <v>0.75629170487130348</v>
      </c>
      <c r="AJ308" s="177">
        <f t="shared" si="502"/>
        <v>0.75629170487130348</v>
      </c>
      <c r="AK308" s="177">
        <f t="shared" si="503"/>
        <v>1.5041944699142022</v>
      </c>
      <c r="AM308" s="555">
        <f t="shared" si="504"/>
        <v>184.00000000000003</v>
      </c>
      <c r="AN308" s="469">
        <f t="shared" si="505"/>
        <v>350</v>
      </c>
      <c r="AP308">
        <f t="shared" si="506"/>
        <v>184.00000000000003</v>
      </c>
      <c r="AQ308">
        <f t="shared" si="507"/>
        <v>350</v>
      </c>
      <c r="AS308" s="5">
        <f t="shared" si="479"/>
        <v>2.8571428571428572</v>
      </c>
      <c r="AT308" s="5">
        <f t="shared" si="508"/>
        <v>0.47268231554456469</v>
      </c>
      <c r="AU308" s="5">
        <f t="shared" si="516"/>
        <v>2.3844605415982927</v>
      </c>
      <c r="AV308" s="5"/>
      <c r="AW308" s="177">
        <f t="shared" si="517"/>
        <v>0.16543881044059763</v>
      </c>
      <c r="AX308" s="177"/>
      <c r="BA308" s="469">
        <f t="shared" si="509"/>
        <v>5.4827721650935404</v>
      </c>
      <c r="BB308" s="469">
        <f t="shared" si="510"/>
        <v>1.2789024266666671</v>
      </c>
      <c r="BC308" s="5">
        <f t="shared" si="442"/>
        <v>0.10156035640140876</v>
      </c>
      <c r="BD308" s="469">
        <f t="shared" si="511"/>
        <v>0</v>
      </c>
      <c r="BQ308" s="538">
        <f t="shared" si="512"/>
        <v>7.0288000000000003E-2</v>
      </c>
      <c r="CG308" s="571">
        <f t="shared" si="513"/>
        <v>-50</v>
      </c>
      <c r="CH308">
        <f t="shared" si="514"/>
        <v>-50</v>
      </c>
    </row>
    <row r="309" spans="4:86" x14ac:dyDescent="0.25">
      <c r="E309" s="174">
        <v>93</v>
      </c>
      <c r="F309" s="221">
        <f t="shared" si="515"/>
        <v>0.18600000000000003</v>
      </c>
      <c r="G309" s="221"/>
      <c r="H309" s="221">
        <f t="shared" si="481"/>
        <v>2.9760000000000004</v>
      </c>
      <c r="I309" s="551">
        <f t="shared" si="482"/>
        <v>48</v>
      </c>
      <c r="J309" s="451">
        <f t="shared" si="483"/>
        <v>19.584</v>
      </c>
      <c r="K309" s="451">
        <f t="shared" si="484"/>
        <v>67.584000000000003</v>
      </c>
      <c r="L309" s="451"/>
      <c r="M309" s="221">
        <f t="shared" si="485"/>
        <v>0.28977272727272724</v>
      </c>
      <c r="N309" s="176">
        <f t="shared" si="486"/>
        <v>9.6890727272727268</v>
      </c>
      <c r="O309" s="176">
        <f t="shared" si="478"/>
        <v>2.9760000000000004</v>
      </c>
      <c r="P309" s="221">
        <f t="shared" si="487"/>
        <v>0.60556704545454543</v>
      </c>
      <c r="Q309" s="221">
        <f t="shared" si="488"/>
        <v>16</v>
      </c>
      <c r="R309" s="221"/>
      <c r="S309" s="176">
        <f t="shared" si="489"/>
        <v>134.28863886648787</v>
      </c>
      <c r="T309" s="176">
        <f t="shared" si="490"/>
        <v>16</v>
      </c>
      <c r="U309" s="221">
        <f t="shared" si="491"/>
        <v>0.47546840958605674</v>
      </c>
      <c r="V309" s="221">
        <f t="shared" si="492"/>
        <v>0.29716775599128548</v>
      </c>
      <c r="W309" s="221">
        <f t="shared" si="493"/>
        <v>0.7283523431158957</v>
      </c>
      <c r="X309" s="201">
        <f t="shared" si="494"/>
        <v>350</v>
      </c>
      <c r="Y309" s="451">
        <f t="shared" si="480"/>
        <v>350</v>
      </c>
      <c r="AA309" s="221">
        <f t="shared" si="495"/>
        <v>1.3246753246753247</v>
      </c>
      <c r="AB309" s="177">
        <f t="shared" si="496"/>
        <v>2.029220779220779</v>
      </c>
      <c r="AC309" s="177">
        <f t="shared" si="497"/>
        <v>0.5644923258559621</v>
      </c>
      <c r="AD309" s="177"/>
      <c r="AE309" s="177">
        <f t="shared" si="498"/>
        <v>0.4595588235294118</v>
      </c>
      <c r="AF309" s="555">
        <f t="shared" si="499"/>
        <v>2248.5333333333338</v>
      </c>
      <c r="AG309" s="538">
        <f t="shared" si="500"/>
        <v>2.8952205882352939E-2</v>
      </c>
      <c r="AI309" s="177">
        <f t="shared" si="501"/>
        <v>0.76039087692731144</v>
      </c>
      <c r="AJ309" s="177">
        <f t="shared" si="502"/>
        <v>0.76039087692731144</v>
      </c>
      <c r="AK309" s="177">
        <f t="shared" si="503"/>
        <v>1.5069272512848744</v>
      </c>
      <c r="AM309" s="555">
        <f t="shared" si="504"/>
        <v>186.00000000000003</v>
      </c>
      <c r="AN309" s="469">
        <f t="shared" si="505"/>
        <v>350</v>
      </c>
      <c r="AP309">
        <f t="shared" si="506"/>
        <v>186.00000000000003</v>
      </c>
      <c r="AQ309">
        <f t="shared" si="507"/>
        <v>350</v>
      </c>
      <c r="AS309" s="5">
        <f t="shared" si="479"/>
        <v>2.8571428571428572</v>
      </c>
      <c r="AT309" s="5">
        <f t="shared" si="508"/>
        <v>0.47524429807956969</v>
      </c>
      <c r="AU309" s="5">
        <f t="shared" si="516"/>
        <v>2.3818985590632877</v>
      </c>
      <c r="AV309" s="5"/>
      <c r="AW309" s="177">
        <f t="shared" si="517"/>
        <v>0.16633550432784938</v>
      </c>
      <c r="AX309" s="177"/>
      <c r="BA309" s="469">
        <f t="shared" si="509"/>
        <v>5.4827721650935404</v>
      </c>
      <c r="BB309" s="469">
        <f t="shared" si="510"/>
        <v>1.3007905350000004</v>
      </c>
      <c r="BC309" s="5">
        <f t="shared" ref="BC309:BC316" si="518">H309/Efficiency/I309*AU309/Vinripple1</f>
        <v>0.10255396573744713</v>
      </c>
      <c r="BD309" s="469">
        <f t="shared" si="511"/>
        <v>0</v>
      </c>
      <c r="BQ309" s="538">
        <f t="shared" si="512"/>
        <v>7.1052000000000004E-2</v>
      </c>
      <c r="CG309" s="571">
        <f t="shared" si="513"/>
        <v>-50</v>
      </c>
      <c r="CH309">
        <f t="shared" si="514"/>
        <v>-50</v>
      </c>
    </row>
    <row r="310" spans="4:86" x14ac:dyDescent="0.25">
      <c r="E310" s="174">
        <v>94</v>
      </c>
      <c r="F310" s="221">
        <f t="shared" si="515"/>
        <v>0.188</v>
      </c>
      <c r="G310" s="221"/>
      <c r="H310" s="221">
        <f t="shared" si="481"/>
        <v>3.008</v>
      </c>
      <c r="I310" s="551">
        <f t="shared" si="482"/>
        <v>48</v>
      </c>
      <c r="J310" s="451">
        <f t="shared" si="483"/>
        <v>19.584</v>
      </c>
      <c r="K310" s="451">
        <f t="shared" si="484"/>
        <v>67.584000000000003</v>
      </c>
      <c r="L310" s="451"/>
      <c r="M310" s="221">
        <f t="shared" si="485"/>
        <v>0.28977272727272724</v>
      </c>
      <c r="N310" s="176">
        <f t="shared" si="486"/>
        <v>9.6890727272727268</v>
      </c>
      <c r="O310" s="176">
        <f t="shared" si="478"/>
        <v>3.008</v>
      </c>
      <c r="P310" s="221">
        <f t="shared" si="487"/>
        <v>0.60556704545454543</v>
      </c>
      <c r="Q310" s="221">
        <f t="shared" si="488"/>
        <v>16</v>
      </c>
      <c r="R310" s="221"/>
      <c r="S310" s="176">
        <f t="shared" si="489"/>
        <v>132.43684240782008</v>
      </c>
      <c r="T310" s="176">
        <f t="shared" si="490"/>
        <v>16</v>
      </c>
      <c r="U310" s="221">
        <f t="shared" si="491"/>
        <v>0.48058097312999276</v>
      </c>
      <c r="V310" s="221">
        <f t="shared" si="492"/>
        <v>0.30036310820624551</v>
      </c>
      <c r="W310" s="221">
        <f t="shared" si="493"/>
        <v>0.73618408874079777</v>
      </c>
      <c r="X310" s="201">
        <f t="shared" si="494"/>
        <v>350</v>
      </c>
      <c r="Y310" s="451">
        <f t="shared" si="480"/>
        <v>350</v>
      </c>
      <c r="AA310" s="221">
        <f t="shared" si="495"/>
        <v>1.3246753246753247</v>
      </c>
      <c r="AB310" s="177">
        <f t="shared" si="496"/>
        <v>2.029220779220779</v>
      </c>
      <c r="AC310" s="177">
        <f t="shared" si="497"/>
        <v>0.5644923258559621</v>
      </c>
      <c r="AD310" s="177"/>
      <c r="AE310" s="177">
        <f t="shared" si="498"/>
        <v>0.4595588235294118</v>
      </c>
      <c r="AF310" s="555">
        <f t="shared" si="499"/>
        <v>2272.7111111111117</v>
      </c>
      <c r="AG310" s="538">
        <f t="shared" si="500"/>
        <v>2.8952205882352939E-2</v>
      </c>
      <c r="AI310" s="177">
        <f t="shared" si="501"/>
        <v>0.76446806903325171</v>
      </c>
      <c r="AJ310" s="177">
        <f t="shared" si="502"/>
        <v>0.76446806903325171</v>
      </c>
      <c r="AK310" s="177">
        <f t="shared" si="503"/>
        <v>1.5096453793555011</v>
      </c>
      <c r="AM310" s="555">
        <f t="shared" si="504"/>
        <v>188</v>
      </c>
      <c r="AN310" s="469">
        <f t="shared" si="505"/>
        <v>350</v>
      </c>
      <c r="AP310">
        <f t="shared" si="506"/>
        <v>188</v>
      </c>
      <c r="AQ310">
        <f t="shared" si="507"/>
        <v>350</v>
      </c>
      <c r="AS310" s="5">
        <f t="shared" si="479"/>
        <v>2.8571428571428572</v>
      </c>
      <c r="AT310" s="5">
        <f t="shared" si="508"/>
        <v>0.47779254314578234</v>
      </c>
      <c r="AU310" s="5">
        <f t="shared" si="516"/>
        <v>2.3793503139970751</v>
      </c>
      <c r="AV310" s="5"/>
      <c r="AW310" s="177">
        <f t="shared" si="517"/>
        <v>0.1672273901010238</v>
      </c>
      <c r="AX310" s="177"/>
      <c r="BA310" s="469">
        <f t="shared" si="509"/>
        <v>5.4827721650935404</v>
      </c>
      <c r="BB310" s="469">
        <f t="shared" si="510"/>
        <v>1.3228504066666669</v>
      </c>
      <c r="BC310" s="5">
        <f t="shared" si="518"/>
        <v>0.10354580070172455</v>
      </c>
      <c r="BD310" s="469">
        <f t="shared" si="511"/>
        <v>0</v>
      </c>
      <c r="BQ310" s="538">
        <f t="shared" si="512"/>
        <v>7.1816000000000005E-2</v>
      </c>
      <c r="CG310" s="571">
        <f t="shared" si="513"/>
        <v>-50</v>
      </c>
      <c r="CH310">
        <f t="shared" si="514"/>
        <v>-50</v>
      </c>
    </row>
    <row r="311" spans="4:86" x14ac:dyDescent="0.25">
      <c r="E311" s="174">
        <v>95</v>
      </c>
      <c r="F311" s="221">
        <f t="shared" si="515"/>
        <v>0.19</v>
      </c>
      <c r="G311" s="221"/>
      <c r="H311" s="221">
        <f t="shared" si="481"/>
        <v>3.04</v>
      </c>
      <c r="I311" s="551">
        <f t="shared" si="482"/>
        <v>48</v>
      </c>
      <c r="J311" s="451">
        <f t="shared" si="483"/>
        <v>19.584</v>
      </c>
      <c r="K311" s="451">
        <f t="shared" si="484"/>
        <v>67.584000000000003</v>
      </c>
      <c r="L311" s="451"/>
      <c r="M311" s="221">
        <f t="shared" si="485"/>
        <v>0.28977272727272724</v>
      </c>
      <c r="N311" s="176">
        <f t="shared" si="486"/>
        <v>9.6890727272727268</v>
      </c>
      <c r="O311" s="176">
        <f t="shared" si="478"/>
        <v>3.04</v>
      </c>
      <c r="P311" s="221">
        <f t="shared" si="487"/>
        <v>0.60556704545454543</v>
      </c>
      <c r="Q311" s="221">
        <f t="shared" si="488"/>
        <v>16</v>
      </c>
      <c r="R311" s="221"/>
      <c r="S311" s="176">
        <f t="shared" si="489"/>
        <v>130.62406744977633</v>
      </c>
      <c r="T311" s="176">
        <f t="shared" si="490"/>
        <v>16</v>
      </c>
      <c r="U311" s="221">
        <f t="shared" si="491"/>
        <v>0.48569353667392884</v>
      </c>
      <c r="V311" s="221">
        <f t="shared" si="492"/>
        <v>0.30355846042120554</v>
      </c>
      <c r="W311" s="221">
        <f t="shared" si="493"/>
        <v>0.74401583436569985</v>
      </c>
      <c r="X311" s="201">
        <f t="shared" si="494"/>
        <v>350</v>
      </c>
      <c r="Y311" s="451">
        <f t="shared" si="480"/>
        <v>350</v>
      </c>
      <c r="AA311" s="221">
        <f t="shared" si="495"/>
        <v>1.3246753246753247</v>
      </c>
      <c r="AB311" s="177">
        <f t="shared" si="496"/>
        <v>2.029220779220779</v>
      </c>
      <c r="AC311" s="177">
        <f t="shared" si="497"/>
        <v>0.5644923258559621</v>
      </c>
      <c r="AD311" s="177"/>
      <c r="AE311" s="177">
        <f t="shared" si="498"/>
        <v>0.4595588235294118</v>
      </c>
      <c r="AF311" s="555">
        <f t="shared" si="499"/>
        <v>2296.8888888888891</v>
      </c>
      <c r="AG311" s="538">
        <f t="shared" si="500"/>
        <v>2.8952205882352939E-2</v>
      </c>
      <c r="AI311" s="177">
        <f t="shared" si="501"/>
        <v>0.76852363101505949</v>
      </c>
      <c r="AJ311" s="177">
        <f t="shared" si="502"/>
        <v>0.76852363101505949</v>
      </c>
      <c r="AK311" s="177">
        <f t="shared" si="503"/>
        <v>1.5123490873433729</v>
      </c>
      <c r="AM311" s="555">
        <f t="shared" si="504"/>
        <v>190</v>
      </c>
      <c r="AN311" s="469">
        <f t="shared" si="505"/>
        <v>350</v>
      </c>
      <c r="AP311">
        <f t="shared" si="506"/>
        <v>190</v>
      </c>
      <c r="AQ311">
        <f t="shared" si="507"/>
        <v>350</v>
      </c>
      <c r="AS311" s="5">
        <f t="shared" si="479"/>
        <v>2.8571428571428572</v>
      </c>
      <c r="AT311" s="5">
        <f t="shared" si="508"/>
        <v>0.48032726938441223</v>
      </c>
      <c r="AU311" s="5">
        <f t="shared" si="516"/>
        <v>2.3768155877584451</v>
      </c>
      <c r="AV311" s="5"/>
      <c r="AW311" s="177">
        <f t="shared" si="517"/>
        <v>0.16811454428454428</v>
      </c>
      <c r="AX311" s="177"/>
      <c r="BA311" s="469">
        <f t="shared" si="509"/>
        <v>5.4827721650935404</v>
      </c>
      <c r="BB311" s="469">
        <f t="shared" si="510"/>
        <v>1.3450820416666669</v>
      </c>
      <c r="BC311" s="5">
        <f t="shared" si="518"/>
        <v>0.10453587075789458</v>
      </c>
      <c r="BD311" s="469">
        <f t="shared" si="511"/>
        <v>0</v>
      </c>
      <c r="BQ311" s="538">
        <f t="shared" si="512"/>
        <v>7.2580000000000006E-2</v>
      </c>
      <c r="CG311" s="571">
        <f t="shared" si="513"/>
        <v>-50</v>
      </c>
      <c r="CH311">
        <f t="shared" si="514"/>
        <v>-50</v>
      </c>
    </row>
    <row r="312" spans="4:86" x14ac:dyDescent="0.25">
      <c r="E312" s="174">
        <v>96</v>
      </c>
      <c r="F312" s="221">
        <f t="shared" si="515"/>
        <v>0.192</v>
      </c>
      <c r="G312" s="221"/>
      <c r="H312" s="221">
        <f t="shared" ref="H312:H316" si="519">F312*Vout</f>
        <v>3.0720000000000001</v>
      </c>
      <c r="I312" s="551">
        <f t="shared" si="482"/>
        <v>48</v>
      </c>
      <c r="J312" s="451">
        <f t="shared" si="483"/>
        <v>19.584</v>
      </c>
      <c r="K312" s="451">
        <f t="shared" si="484"/>
        <v>67.584000000000003</v>
      </c>
      <c r="L312" s="451"/>
      <c r="M312" s="221">
        <f t="shared" si="485"/>
        <v>0.28977272727272724</v>
      </c>
      <c r="N312" s="176">
        <f t="shared" ref="N312:N316" si="520">M312*I312*(Isw_max+VIN_max/Lmag*ILIM_delay)*0.5*Efficiency</f>
        <v>9.6890727272727268</v>
      </c>
      <c r="O312" s="176">
        <f t="shared" si="478"/>
        <v>3.0720000000000001</v>
      </c>
      <c r="P312" s="221">
        <f t="shared" ref="P312:P316" si="521">N312/Vout</f>
        <v>0.60556704545454543</v>
      </c>
      <c r="Q312" s="221">
        <f t="shared" si="488"/>
        <v>16</v>
      </c>
      <c r="R312" s="221"/>
      <c r="S312" s="176">
        <f t="shared" si="489"/>
        <v>128.84909491127729</v>
      </c>
      <c r="T312" s="176">
        <f t="shared" ref="T312:T316" si="522">MIN(Vout, S312)</f>
        <v>16</v>
      </c>
      <c r="U312" s="221">
        <f t="shared" si="491"/>
        <v>0.49080610021786497</v>
      </c>
      <c r="V312" s="221">
        <f t="shared" ref="V312:V316" si="523">L*U312/I312*1000000</f>
        <v>0.30675381263616558</v>
      </c>
      <c r="W312" s="221">
        <f t="shared" si="493"/>
        <v>0.75184757999060203</v>
      </c>
      <c r="X312" s="201">
        <f t="shared" si="494"/>
        <v>350</v>
      </c>
      <c r="Y312" s="451">
        <f t="shared" si="480"/>
        <v>350</v>
      </c>
      <c r="AA312" s="221">
        <f t="shared" si="495"/>
        <v>1.3246753246753247</v>
      </c>
      <c r="AB312" s="177">
        <f t="shared" ref="AB312:AB316" si="524">L*AA312/J312*1000000</f>
        <v>2.029220779220779</v>
      </c>
      <c r="AC312" s="177">
        <f t="shared" ref="AC312:AC316" si="525">0.5*AB312*AA312*Nps*X312/1000</f>
        <v>0.5644923258559621</v>
      </c>
      <c r="AD312" s="177"/>
      <c r="AE312" s="177">
        <f t="shared" si="498"/>
        <v>0.4595588235294118</v>
      </c>
      <c r="AF312" s="555">
        <f t="shared" ref="AF312:AF316" si="526">MAX(12000,F312/(0.5*AE312/1000000*Isw_min*Nps))/1000</f>
        <v>2321.0666666666671</v>
      </c>
      <c r="AG312" s="538">
        <f t="shared" si="500"/>
        <v>2.8952205882352939E-2</v>
      </c>
      <c r="AI312" s="177">
        <f t="shared" si="501"/>
        <v>0.77255790351643816</v>
      </c>
      <c r="AJ312" s="177">
        <f t="shared" ref="AJ312:AJ316" si="527">MAX(IF(F312&gt;AC312,U312,AI312),Isw_min)</f>
        <v>0.77255790351643816</v>
      </c>
      <c r="AK312" s="177">
        <f t="shared" ref="AK312:AK316" si="528">IF(F312&gt;AG312, (AJ312-Isw_min)/1.2*0.8+1.2, AF312*0.2/350+1)</f>
        <v>1.5150386023442921</v>
      </c>
      <c r="AM312" s="555">
        <f t="shared" si="504"/>
        <v>192</v>
      </c>
      <c r="AN312" s="469">
        <f t="shared" si="505"/>
        <v>350</v>
      </c>
      <c r="AP312">
        <f t="shared" si="506"/>
        <v>192</v>
      </c>
      <c r="AQ312">
        <f t="shared" si="507"/>
        <v>350</v>
      </c>
      <c r="AS312" s="5">
        <f t="shared" si="479"/>
        <v>2.8571428571428572</v>
      </c>
      <c r="AT312" s="5">
        <f t="shared" si="508"/>
        <v>0.48284868969777384</v>
      </c>
      <c r="AU312" s="5">
        <f t="shared" si="516"/>
        <v>2.3742941674450835</v>
      </c>
      <c r="AV312" s="5"/>
      <c r="AW312" s="177">
        <f t="shared" si="517"/>
        <v>0.16899704139422084</v>
      </c>
      <c r="AX312" s="177"/>
      <c r="BA312" s="469">
        <f t="shared" si="509"/>
        <v>5.4827721650935404</v>
      </c>
      <c r="BB312" s="469">
        <f t="shared" si="510"/>
        <v>1.3674854400000003</v>
      </c>
      <c r="BC312" s="5">
        <f t="shared" si="518"/>
        <v>0.10552418521978149</v>
      </c>
      <c r="BD312" s="469">
        <f t="shared" si="511"/>
        <v>0</v>
      </c>
      <c r="BQ312" s="538">
        <f t="shared" si="512"/>
        <v>7.3344000000000006E-2</v>
      </c>
      <c r="CG312" s="571">
        <f t="shared" si="513"/>
        <v>-50</v>
      </c>
      <c r="CH312">
        <f t="shared" si="514"/>
        <v>-50</v>
      </c>
    </row>
    <row r="313" spans="4:86" x14ac:dyDescent="0.25">
      <c r="E313" s="174">
        <v>97</v>
      </c>
      <c r="F313" s="221">
        <f t="shared" ref="F313:F316" si="529">IF(PLOT_TYPE=1, E313/100*Iout_max, min_I*EXP(N313*rr/100))</f>
        <v>0.19400000000000001</v>
      </c>
      <c r="G313" s="221"/>
      <c r="H313" s="221">
        <f t="shared" si="519"/>
        <v>3.1040000000000001</v>
      </c>
      <c r="I313" s="551">
        <f t="shared" si="482"/>
        <v>48</v>
      </c>
      <c r="J313" s="451">
        <f t="shared" si="483"/>
        <v>19.584</v>
      </c>
      <c r="K313" s="451">
        <f t="shared" si="484"/>
        <v>67.584000000000003</v>
      </c>
      <c r="L313" s="451"/>
      <c r="M313" s="221">
        <f t="shared" si="485"/>
        <v>0.28977272727272724</v>
      </c>
      <c r="N313" s="176">
        <f t="shared" si="520"/>
        <v>9.6890727272727268</v>
      </c>
      <c r="O313" s="176">
        <f t="shared" si="478"/>
        <v>3.1040000000000001</v>
      </c>
      <c r="P313" s="221">
        <f t="shared" si="521"/>
        <v>0.60556704545454543</v>
      </c>
      <c r="Q313" s="221">
        <f t="shared" si="488"/>
        <v>16</v>
      </c>
      <c r="R313" s="221"/>
      <c r="S313" s="176">
        <f t="shared" si="489"/>
        <v>127.11075598684624</v>
      </c>
      <c r="T313" s="176">
        <f t="shared" si="522"/>
        <v>16</v>
      </c>
      <c r="U313" s="221">
        <f t="shared" si="491"/>
        <v>0.49591866376180105</v>
      </c>
      <c r="V313" s="221">
        <f t="shared" si="523"/>
        <v>0.30994916485112567</v>
      </c>
      <c r="W313" s="221">
        <f t="shared" si="493"/>
        <v>0.75967932561550411</v>
      </c>
      <c r="X313" s="201">
        <f t="shared" si="494"/>
        <v>350</v>
      </c>
      <c r="Y313" s="451">
        <f t="shared" si="480"/>
        <v>350</v>
      </c>
      <c r="AA313" s="221">
        <f t="shared" si="495"/>
        <v>1.3246753246753247</v>
      </c>
      <c r="AB313" s="177">
        <f t="shared" si="524"/>
        <v>2.029220779220779</v>
      </c>
      <c r="AC313" s="177">
        <f t="shared" si="525"/>
        <v>0.5644923258559621</v>
      </c>
      <c r="AD313" s="177"/>
      <c r="AE313" s="177">
        <f t="shared" si="498"/>
        <v>0.4595588235294118</v>
      </c>
      <c r="AF313" s="555">
        <f t="shared" si="526"/>
        <v>2345.2444444444445</v>
      </c>
      <c r="AG313" s="538">
        <f t="shared" si="500"/>
        <v>2.8952205882352939E-2</v>
      </c>
      <c r="AI313" s="177">
        <f t="shared" si="501"/>
        <v>0.77657121833277931</v>
      </c>
      <c r="AJ313" s="177">
        <f t="shared" si="527"/>
        <v>0.77657121833277931</v>
      </c>
      <c r="AK313" s="177">
        <f t="shared" si="528"/>
        <v>1.5177141455551861</v>
      </c>
      <c r="AM313" s="555">
        <f t="shared" si="504"/>
        <v>194</v>
      </c>
      <c r="AN313" s="469">
        <f t="shared" si="505"/>
        <v>350</v>
      </c>
      <c r="AP313">
        <f t="shared" si="506"/>
        <v>194</v>
      </c>
      <c r="AQ313">
        <f t="shared" si="507"/>
        <v>350</v>
      </c>
      <c r="AS313" s="5">
        <f t="shared" si="479"/>
        <v>2.8571428571428572</v>
      </c>
      <c r="AT313" s="5">
        <f t="shared" si="508"/>
        <v>0.4853570114579871</v>
      </c>
      <c r="AU313" s="5">
        <f t="shared" si="516"/>
        <v>2.3717858456848702</v>
      </c>
      <c r="AV313" s="5"/>
      <c r="AW313" s="177">
        <f t="shared" si="517"/>
        <v>0.16987495401029548</v>
      </c>
      <c r="AX313" s="177"/>
      <c r="BA313" s="469">
        <f t="shared" si="509"/>
        <v>5.4827721650935404</v>
      </c>
      <c r="BB313" s="469">
        <f t="shared" si="510"/>
        <v>1.3900606016666668</v>
      </c>
      <c r="BC313" s="5">
        <f t="shared" si="518"/>
        <v>0.10651075325529276</v>
      </c>
      <c r="BD313" s="469">
        <f t="shared" si="511"/>
        <v>0</v>
      </c>
      <c r="BQ313" s="538">
        <f t="shared" si="512"/>
        <v>7.4107999999999993E-2</v>
      </c>
      <c r="CG313" s="571">
        <f t="shared" si="513"/>
        <v>-50</v>
      </c>
      <c r="CH313">
        <f t="shared" si="514"/>
        <v>-50</v>
      </c>
    </row>
    <row r="314" spans="4:86" x14ac:dyDescent="0.25">
      <c r="E314" s="174">
        <v>98</v>
      </c>
      <c r="F314" s="221">
        <f t="shared" si="529"/>
        <v>0.19600000000000001</v>
      </c>
      <c r="G314" s="221"/>
      <c r="H314" s="221">
        <f t="shared" si="519"/>
        <v>3.1360000000000001</v>
      </c>
      <c r="I314" s="551">
        <f t="shared" si="482"/>
        <v>48</v>
      </c>
      <c r="J314" s="451">
        <f t="shared" si="483"/>
        <v>19.584</v>
      </c>
      <c r="K314" s="451">
        <f t="shared" si="484"/>
        <v>67.584000000000003</v>
      </c>
      <c r="L314" s="451"/>
      <c r="M314" s="221">
        <f t="shared" si="485"/>
        <v>0.28977272727272724</v>
      </c>
      <c r="N314" s="176">
        <f t="shared" si="520"/>
        <v>9.6890727272727268</v>
      </c>
      <c r="O314" s="176">
        <f t="shared" si="478"/>
        <v>3.1360000000000001</v>
      </c>
      <c r="P314" s="221">
        <f t="shared" si="521"/>
        <v>0.60556704545454543</v>
      </c>
      <c r="Q314" s="221">
        <f t="shared" si="488"/>
        <v>16</v>
      </c>
      <c r="R314" s="221"/>
      <c r="S314" s="176">
        <f t="shared" si="489"/>
        <v>125.40792958159201</v>
      </c>
      <c r="T314" s="176">
        <f t="shared" si="522"/>
        <v>16</v>
      </c>
      <c r="U314" s="221">
        <f t="shared" si="491"/>
        <v>0.50103122730573713</v>
      </c>
      <c r="V314" s="221">
        <f t="shared" si="523"/>
        <v>0.3131445170660857</v>
      </c>
      <c r="W314" s="221">
        <f t="shared" si="493"/>
        <v>0.76751107124040618</v>
      </c>
      <c r="X314" s="201">
        <f t="shared" si="494"/>
        <v>350</v>
      </c>
      <c r="Y314" s="451">
        <f t="shared" si="480"/>
        <v>350</v>
      </c>
      <c r="AA314" s="221">
        <f t="shared" si="495"/>
        <v>1.3246753246753247</v>
      </c>
      <c r="AB314" s="177">
        <f t="shared" si="524"/>
        <v>2.029220779220779</v>
      </c>
      <c r="AC314" s="177">
        <f t="shared" si="525"/>
        <v>0.5644923258559621</v>
      </c>
      <c r="AD314" s="177"/>
      <c r="AE314" s="177">
        <f t="shared" si="498"/>
        <v>0.4595588235294118</v>
      </c>
      <c r="AF314" s="555">
        <f t="shared" si="526"/>
        <v>2369.4222222222224</v>
      </c>
      <c r="AG314" s="538">
        <f t="shared" si="500"/>
        <v>2.8952205882352939E-2</v>
      </c>
      <c r="AI314" s="177">
        <f t="shared" si="501"/>
        <v>0.78056389872962995</v>
      </c>
      <c r="AJ314" s="177">
        <f t="shared" si="527"/>
        <v>0.78056389872962995</v>
      </c>
      <c r="AK314" s="177">
        <f t="shared" si="528"/>
        <v>1.5203759324864199</v>
      </c>
      <c r="AM314" s="555">
        <f t="shared" si="504"/>
        <v>196</v>
      </c>
      <c r="AN314" s="469">
        <f t="shared" si="505"/>
        <v>350</v>
      </c>
      <c r="AP314">
        <f t="shared" si="506"/>
        <v>196</v>
      </c>
      <c r="AQ314">
        <f t="shared" si="507"/>
        <v>350</v>
      </c>
      <c r="AS314" s="5">
        <f t="shared" si="479"/>
        <v>2.8571428571428572</v>
      </c>
      <c r="AT314" s="5">
        <f t="shared" si="508"/>
        <v>0.48785243670601874</v>
      </c>
      <c r="AU314" s="5">
        <f t="shared" si="516"/>
        <v>2.3692904204368386</v>
      </c>
      <c r="AV314" s="5"/>
      <c r="AW314" s="177">
        <f t="shared" si="517"/>
        <v>0.17074835284710654</v>
      </c>
      <c r="AX314" s="177"/>
      <c r="BA314" s="469">
        <f t="shared" si="509"/>
        <v>5.4827721650935404</v>
      </c>
      <c r="BB314" s="469">
        <f t="shared" si="510"/>
        <v>1.4128075266666671</v>
      </c>
      <c r="BC314" s="5">
        <f t="shared" si="518"/>
        <v>0.1074955838901899</v>
      </c>
      <c r="BD314" s="469">
        <f t="shared" si="511"/>
        <v>0</v>
      </c>
      <c r="BQ314" s="538">
        <f t="shared" si="512"/>
        <v>7.4872000000000008E-2</v>
      </c>
      <c r="CG314" s="571">
        <f t="shared" si="513"/>
        <v>-50</v>
      </c>
      <c r="CH314">
        <f t="shared" si="514"/>
        <v>-50</v>
      </c>
    </row>
    <row r="315" spans="4:86" x14ac:dyDescent="0.25">
      <c r="E315" s="174">
        <v>99</v>
      </c>
      <c r="F315" s="221">
        <f t="shared" si="529"/>
        <v>0.19800000000000001</v>
      </c>
      <c r="G315" s="221"/>
      <c r="H315" s="221">
        <f t="shared" si="519"/>
        <v>3.1680000000000001</v>
      </c>
      <c r="I315" s="551">
        <f t="shared" si="482"/>
        <v>48</v>
      </c>
      <c r="J315" s="451">
        <f t="shared" si="483"/>
        <v>19.584</v>
      </c>
      <c r="K315" s="451">
        <f t="shared" si="484"/>
        <v>67.584000000000003</v>
      </c>
      <c r="L315" s="451"/>
      <c r="M315" s="221">
        <f t="shared" si="485"/>
        <v>0.28977272727272724</v>
      </c>
      <c r="N315" s="176">
        <f t="shared" si="520"/>
        <v>9.6890727272727268</v>
      </c>
      <c r="O315" s="176">
        <f t="shared" si="478"/>
        <v>3.1680000000000001</v>
      </c>
      <c r="P315" s="221">
        <f t="shared" si="521"/>
        <v>0.60556704545454543</v>
      </c>
      <c r="Q315" s="221">
        <f t="shared" si="488"/>
        <v>16</v>
      </c>
      <c r="R315" s="221"/>
      <c r="S315" s="176">
        <f t="shared" si="489"/>
        <v>123.7395399016484</v>
      </c>
      <c r="T315" s="176">
        <f t="shared" si="522"/>
        <v>16</v>
      </c>
      <c r="U315" s="221">
        <f t="shared" si="491"/>
        <v>0.5061437908496732</v>
      </c>
      <c r="V315" s="221">
        <f t="shared" si="523"/>
        <v>0.31633986928104574</v>
      </c>
      <c r="W315" s="221">
        <f t="shared" si="493"/>
        <v>0.77534281686530826</v>
      </c>
      <c r="X315" s="201">
        <f t="shared" si="494"/>
        <v>350</v>
      </c>
      <c r="Y315" s="451">
        <f t="shared" si="480"/>
        <v>350</v>
      </c>
      <c r="AA315" s="221">
        <f t="shared" si="495"/>
        <v>1.3246753246753247</v>
      </c>
      <c r="AB315" s="177">
        <f t="shared" si="524"/>
        <v>2.029220779220779</v>
      </c>
      <c r="AC315" s="177">
        <f t="shared" si="525"/>
        <v>0.5644923258559621</v>
      </c>
      <c r="AD315" s="177"/>
      <c r="AE315" s="177">
        <f t="shared" si="498"/>
        <v>0.4595588235294118</v>
      </c>
      <c r="AF315" s="555">
        <f t="shared" si="526"/>
        <v>2393.6000000000004</v>
      </c>
      <c r="AG315" s="538">
        <f t="shared" si="500"/>
        <v>2.8952205882352939E-2</v>
      </c>
      <c r="AI315" s="177">
        <f t="shared" si="501"/>
        <v>0.78453625974657337</v>
      </c>
      <c r="AJ315" s="177">
        <f t="shared" si="527"/>
        <v>0.78453625974657337</v>
      </c>
      <c r="AK315" s="177">
        <f t="shared" si="528"/>
        <v>1.5230241731643823</v>
      </c>
      <c r="AM315" s="555">
        <f t="shared" si="504"/>
        <v>198</v>
      </c>
      <c r="AN315" s="469">
        <f t="shared" si="505"/>
        <v>350</v>
      </c>
      <c r="AP315">
        <f t="shared" si="506"/>
        <v>198</v>
      </c>
      <c r="AQ315">
        <f t="shared" si="507"/>
        <v>350</v>
      </c>
      <c r="AS315" s="5">
        <f t="shared" si="479"/>
        <v>2.8571428571428572</v>
      </c>
      <c r="AT315" s="5">
        <f t="shared" si="508"/>
        <v>0.49033516234160834</v>
      </c>
      <c r="AU315" s="5">
        <f t="shared" si="516"/>
        <v>2.3668076948012491</v>
      </c>
      <c r="AV315" s="5"/>
      <c r="AW315" s="177">
        <f t="shared" si="517"/>
        <v>0.17161730681956291</v>
      </c>
      <c r="AX315" s="177"/>
      <c r="BA315" s="469">
        <f t="shared" si="509"/>
        <v>5.4827721650935404</v>
      </c>
      <c r="BB315" s="469">
        <f t="shared" si="510"/>
        <v>1.4357262150000003</v>
      </c>
      <c r="BC315" s="5">
        <f t="shared" si="518"/>
        <v>0.1084786860117239</v>
      </c>
      <c r="BD315" s="469">
        <f t="shared" si="511"/>
        <v>0</v>
      </c>
      <c r="BQ315" s="538">
        <f t="shared" si="512"/>
        <v>7.5636000000000009E-2</v>
      </c>
      <c r="CG315" s="571">
        <f t="shared" si="513"/>
        <v>-50</v>
      </c>
      <c r="CH315">
        <f t="shared" si="514"/>
        <v>-50</v>
      </c>
    </row>
    <row r="316" spans="4:86" x14ac:dyDescent="0.25">
      <c r="E316" s="174">
        <v>100</v>
      </c>
      <c r="F316" s="221">
        <f t="shared" si="529"/>
        <v>0.2</v>
      </c>
      <c r="G316" s="221"/>
      <c r="H316" s="221">
        <f t="shared" si="519"/>
        <v>3.2</v>
      </c>
      <c r="I316" s="551">
        <f t="shared" si="482"/>
        <v>48</v>
      </c>
      <c r="J316" s="451">
        <f t="shared" si="483"/>
        <v>19.584</v>
      </c>
      <c r="K316" s="451">
        <f t="shared" si="484"/>
        <v>67.584000000000003</v>
      </c>
      <c r="L316" s="451"/>
      <c r="M316" s="221">
        <f t="shared" si="485"/>
        <v>0.28977272727272724</v>
      </c>
      <c r="N316" s="176">
        <f t="shared" si="520"/>
        <v>9.6890727272727268</v>
      </c>
      <c r="O316" s="176">
        <f t="shared" si="478"/>
        <v>3.2</v>
      </c>
      <c r="P316" s="221">
        <f t="shared" si="521"/>
        <v>0.60556704545454543</v>
      </c>
      <c r="Q316" s="221">
        <f t="shared" si="488"/>
        <v>16</v>
      </c>
      <c r="R316" s="221"/>
      <c r="S316" s="176">
        <f t="shared" si="489"/>
        <v>122.10455418918836</v>
      </c>
      <c r="T316" s="176">
        <f t="shared" si="522"/>
        <v>16</v>
      </c>
      <c r="U316" s="221">
        <f t="shared" si="491"/>
        <v>0.51125635439360939</v>
      </c>
      <c r="V316" s="221">
        <f t="shared" si="523"/>
        <v>0.31953522149600588</v>
      </c>
      <c r="W316" s="221">
        <f t="shared" si="493"/>
        <v>0.78317456249021045</v>
      </c>
      <c r="X316" s="201">
        <f t="shared" si="494"/>
        <v>350</v>
      </c>
      <c r="Y316" s="451">
        <f t="shared" si="480"/>
        <v>350</v>
      </c>
      <c r="AA316" s="221">
        <f t="shared" si="495"/>
        <v>1.3246753246753247</v>
      </c>
      <c r="AB316" s="177">
        <f t="shared" si="524"/>
        <v>2.029220779220779</v>
      </c>
      <c r="AC316" s="177">
        <f t="shared" si="525"/>
        <v>0.5644923258559621</v>
      </c>
      <c r="AD316" s="177"/>
      <c r="AE316" s="177">
        <f t="shared" si="498"/>
        <v>0.4595588235294118</v>
      </c>
      <c r="AF316" s="555">
        <f t="shared" si="526"/>
        <v>2417.7777777777778</v>
      </c>
      <c r="AG316" s="538">
        <f t="shared" si="500"/>
        <v>2.8952205882352939E-2</v>
      </c>
      <c r="AI316" s="177">
        <f t="shared" si="501"/>
        <v>0.78848860848732982</v>
      </c>
      <c r="AJ316" s="177">
        <f t="shared" si="527"/>
        <v>0.78848860848732982</v>
      </c>
      <c r="AK316" s="177">
        <f t="shared" si="528"/>
        <v>1.5256590723248866</v>
      </c>
      <c r="AM316" s="555">
        <f t="shared" si="504"/>
        <v>200</v>
      </c>
      <c r="AN316" s="469">
        <f t="shared" si="505"/>
        <v>350</v>
      </c>
      <c r="AP316">
        <f t="shared" si="506"/>
        <v>200</v>
      </c>
      <c r="AQ316">
        <f t="shared" si="507"/>
        <v>350</v>
      </c>
      <c r="AS316" s="5">
        <f t="shared" si="479"/>
        <v>2.8571428571428572</v>
      </c>
      <c r="AT316" s="5">
        <f t="shared" si="508"/>
        <v>0.4928053803045811</v>
      </c>
      <c r="AU316" s="5">
        <f t="shared" si="516"/>
        <v>2.3643374768382763</v>
      </c>
      <c r="AV316" s="5"/>
      <c r="AW316" s="177">
        <f t="shared" si="517"/>
        <v>0.17248188310660337</v>
      </c>
      <c r="AX316" s="177"/>
      <c r="BA316" s="469">
        <f t="shared" si="509"/>
        <v>5.4827721650935404</v>
      </c>
      <c r="BB316" s="469">
        <f t="shared" si="510"/>
        <v>1.4588166666666671</v>
      </c>
      <c r="BC316" s="5">
        <f t="shared" si="518"/>
        <v>0.10946006837214244</v>
      </c>
      <c r="BD316" s="469">
        <f t="shared" si="511"/>
        <v>0</v>
      </c>
      <c r="BQ316" s="538">
        <f t="shared" si="512"/>
        <v>7.640000000000001E-2</v>
      </c>
      <c r="CG316" s="571">
        <f t="shared" si="513"/>
        <v>-50</v>
      </c>
      <c r="CH316">
        <f t="shared" si="514"/>
        <v>-50</v>
      </c>
    </row>
    <row r="317" spans="4:86" x14ac:dyDescent="0.25">
      <c r="E317" s="174"/>
      <c r="F317" s="221"/>
      <c r="G317" s="221"/>
      <c r="CG317" s="571"/>
    </row>
    <row r="318" spans="4:86" x14ac:dyDescent="0.25">
      <c r="CG318" s="571"/>
    </row>
    <row r="319" spans="4:86" x14ac:dyDescent="0.25">
      <c r="D319" s="77" t="s">
        <v>824</v>
      </c>
      <c r="CG319" s="571"/>
    </row>
    <row r="320" spans="4:86" x14ac:dyDescent="0.25">
      <c r="E320" s="77" t="s">
        <v>831</v>
      </c>
      <c r="CG320" s="571"/>
    </row>
    <row r="321" spans="4:85" x14ac:dyDescent="0.25">
      <c r="F321" s="77" t="s">
        <v>826</v>
      </c>
      <c r="G321" s="77" t="s">
        <v>825</v>
      </c>
      <c r="BB321" s="77" t="s">
        <v>827</v>
      </c>
      <c r="BC321" s="77" t="s">
        <v>829</v>
      </c>
      <c r="BD321" s="77" t="s">
        <v>830</v>
      </c>
      <c r="BF321" s="77" t="s">
        <v>828</v>
      </c>
      <c r="CG321" s="571"/>
    </row>
    <row r="322" spans="4:85" x14ac:dyDescent="0.25">
      <c r="F322">
        <f>'LM(2)518x PSR flyback converter'!E57</f>
        <v>5.0000000000000001E-3</v>
      </c>
      <c r="G322" s="771">
        <f>F322*Vout</f>
        <v>0.08</v>
      </c>
      <c r="BB322">
        <f>F322*Vout</f>
        <v>0.08</v>
      </c>
      <c r="BC322" s="770">
        <v>2.2000000000000001E-7</v>
      </c>
    </row>
    <row r="323" spans="4:85" x14ac:dyDescent="0.25">
      <c r="E323" t="s">
        <v>832</v>
      </c>
    </row>
    <row r="324" spans="4:85" x14ac:dyDescent="0.25">
      <c r="F324" t="s">
        <v>833</v>
      </c>
      <c r="G324" t="s">
        <v>834</v>
      </c>
      <c r="H324" t="s">
        <v>835</v>
      </c>
      <c r="I324" s="77" t="s">
        <v>676</v>
      </c>
    </row>
    <row r="325" spans="4:85" x14ac:dyDescent="0.25">
      <c r="F325" s="770">
        <v>1.9999999999999999E-7</v>
      </c>
      <c r="G325">
        <f>VIN_max</f>
        <v>48</v>
      </c>
      <c r="H325">
        <f>15000</f>
        <v>15000</v>
      </c>
      <c r="I325">
        <f>L*0.9</f>
        <v>2.7000000000000002E-5</v>
      </c>
    </row>
    <row r="326" spans="4:85" x14ac:dyDescent="0.25">
      <c r="G326" s="77" t="s">
        <v>836</v>
      </c>
    </row>
    <row r="327" spans="4:85" x14ac:dyDescent="0.25">
      <c r="G327" s="771">
        <f>0.5*(G325/I325*F325)^2*H325*I325</f>
        <v>2.5599999999999998E-2</v>
      </c>
    </row>
    <row r="328" spans="4:85" x14ac:dyDescent="0.25">
      <c r="E328" s="77" t="s">
        <v>837</v>
      </c>
    </row>
    <row r="329" spans="4:85" x14ac:dyDescent="0.25">
      <c r="G329" t="str">
        <f>IF(G327&gt;G322, "Yes", "No")</f>
        <v>No</v>
      </c>
      <c r="H329">
        <f>(Vout*1.05)^2/(G327-G322)</f>
        <v>-5188.2352941176468</v>
      </c>
    </row>
    <row r="332" spans="4:85" x14ac:dyDescent="0.25">
      <c r="D332" s="77"/>
    </row>
    <row r="334" spans="4:85" x14ac:dyDescent="0.25">
      <c r="F334" s="555"/>
    </row>
    <row r="335" spans="4:85" x14ac:dyDescent="0.25">
      <c r="F335" s="555"/>
    </row>
    <row r="336" spans="4:85" x14ac:dyDescent="0.25">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5" x14ac:dyDescent="0.25"/>
  <cols>
    <col min="1" max="1" width="2.81640625" customWidth="1"/>
    <col min="2" max="2" width="3.54296875" customWidth="1"/>
    <col min="3" max="3" width="2.81640625" customWidth="1"/>
    <col min="4" max="4" width="3.7265625" customWidth="1"/>
    <col min="5" max="5" width="6.1796875" customWidth="1"/>
    <col min="6" max="6" width="9" customWidth="1"/>
    <col min="7" max="7" width="7.7265625" customWidth="1"/>
    <col min="8" max="9" width="7.81640625" customWidth="1"/>
    <col min="10" max="10" width="6.26953125" customWidth="1"/>
    <col min="11" max="11" width="9.54296875" customWidth="1"/>
    <col min="12" max="12" width="9.26953125" customWidth="1"/>
    <col min="13" max="13" width="10.5429687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49" width="9.453125" customWidth="1"/>
    <col min="50" max="50" width="12.54296875" customWidth="1"/>
    <col min="51" max="51" width="9.453125" customWidth="1"/>
    <col min="52" max="52" width="12.7265625" customWidth="1"/>
    <col min="53" max="54" width="9.81640625" customWidth="1"/>
    <col min="55" max="55" width="2" customWidth="1"/>
    <col min="59" max="59" width="2.1796875" customWidth="1"/>
    <col min="60" max="60" width="9" customWidth="1"/>
    <col min="61" max="62" width="8.1796875" customWidth="1"/>
    <col min="63" max="63" width="8.7265625" customWidth="1"/>
    <col min="64" max="64" width="7.54296875" customWidth="1"/>
    <col min="65" max="65" width="8.54296875" customWidth="1"/>
    <col min="66" max="67" width="7.54296875" customWidth="1"/>
    <col min="68" max="69" width="10.26953125" customWidth="1"/>
    <col min="70" max="70" width="9.453125" customWidth="1"/>
    <col min="71" max="71" width="9.54296875" customWidth="1"/>
    <col min="72" max="72" width="10" customWidth="1"/>
    <col min="73" max="73" width="8.7265625" customWidth="1"/>
    <col min="76" max="78" width="9.81640625" customWidth="1"/>
    <col min="79" max="79" width="12.1796875" customWidth="1"/>
    <col min="80" max="80" width="9.1796875" customWidth="1"/>
    <col min="82" max="82" width="7.7265625" customWidth="1"/>
    <col min="83" max="83" width="10.453125" customWidth="1"/>
    <col min="84" max="84" width="12.453125" bestFit="1" customWidth="1"/>
    <col min="85" max="85" width="6.54296875" customWidth="1"/>
    <col min="86" max="86" width="5" customWidth="1"/>
    <col min="87" max="87" width="9.54296875" customWidth="1"/>
  </cols>
  <sheetData>
    <row r="1" spans="2:88" ht="13" x14ac:dyDescent="0.3">
      <c r="B1" s="453" t="s">
        <v>526</v>
      </c>
    </row>
    <row r="2" spans="2:88" ht="13" thickBot="1" x14ac:dyDescent="0.3">
      <c r="AW2">
        <f>Vout_ripple</f>
        <v>160</v>
      </c>
    </row>
    <row r="3" spans="2:88" ht="13" x14ac:dyDescent="0.3">
      <c r="E3" s="224" t="s">
        <v>428</v>
      </c>
      <c r="F3" s="550"/>
      <c r="G3" s="550"/>
      <c r="H3" s="550"/>
      <c r="I3" s="550"/>
      <c r="J3" s="225"/>
      <c r="K3" s="226"/>
      <c r="L3" s="534"/>
      <c r="M3" s="534"/>
      <c r="N3" s="850" t="s">
        <v>189</v>
      </c>
      <c r="O3" s="851"/>
      <c r="P3" s="852"/>
      <c r="Q3" s="850"/>
      <c r="R3" s="852"/>
      <c r="S3" s="850"/>
      <c r="T3" s="850"/>
      <c r="U3" s="851"/>
      <c r="V3" s="851"/>
      <c r="W3" s="850"/>
      <c r="X3" s="851"/>
      <c r="Y3" s="850"/>
      <c r="Z3" s="853"/>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3">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5">
      <c r="E5" s="174">
        <v>0.1</v>
      </c>
      <c r="F5" s="221">
        <v>1.0000000000000001E-9</v>
      </c>
      <c r="G5" s="221">
        <v>1.0000000000000001E-9</v>
      </c>
      <c r="H5" s="221">
        <f t="shared" ref="H5:H36" si="0">F5*Vout</f>
        <v>1.6000000000000001E-8</v>
      </c>
      <c r="I5" s="221">
        <f>G5*Vout2</f>
        <v>1.6000000000000001E-8</v>
      </c>
      <c r="J5" s="551">
        <f t="shared" ref="J5:J68" si="1">Vin</f>
        <v>32</v>
      </c>
      <c r="K5" s="451">
        <f t="shared" ref="K5:K68" si="2">(S5+Vfwd1)*Nps</f>
        <v>19.584</v>
      </c>
      <c r="L5" s="451">
        <f t="shared" ref="L5:L68" si="3">(Vout+Vfwd1)*Nps+J5</f>
        <v>51.584000000000003</v>
      </c>
      <c r="M5" s="451"/>
      <c r="N5" s="221">
        <f t="shared" ref="N5:N68" si="4">(Vout+Vfwd1)*Nps/((Vout+Vfwd1)*Nps+J5)</f>
        <v>0.37965260545905705</v>
      </c>
      <c r="O5" s="176">
        <f>N5*J5*Isw_max*0.5*Efficiency*(Pout/Pout_total)</f>
        <v>5.4669975186104214</v>
      </c>
      <c r="P5" s="176">
        <f t="shared" ref="P5:P36" si="5">N5*J5*Isw_max*0.5*Efficiency*(Pout2/Pout_total)</f>
        <v>2.7334987593052107</v>
      </c>
      <c r="Q5" s="221">
        <f t="shared" ref="Q5:Q68" si="6">O5/Vout</f>
        <v>0.34168734491315134</v>
      </c>
      <c r="R5" s="221">
        <f t="shared" ref="R5:R36" si="7">O5/Vout2</f>
        <v>0.34168734491315134</v>
      </c>
      <c r="S5" s="451">
        <f t="shared" ref="S5:S36" si="8">MIN(Vout,O5/F5)</f>
        <v>16</v>
      </c>
      <c r="T5" s="221">
        <f t="shared" ref="T5:T36" si="9">MIN(2*(Vout*F5+Vout2*G5)/(Efficiency*J5*N5), Isw_max)</f>
        <v>5.8533042846768346E-9</v>
      </c>
      <c r="U5" s="221">
        <f t="shared" ref="U5:U68" si="10">L*T5/J5*1000000</f>
        <v>5.4874727668845322E-9</v>
      </c>
      <c r="V5" s="221">
        <f t="shared" ref="V5:V68" si="11">L*T5/K5*1000000</f>
        <v>8.9664587694191705E-9</v>
      </c>
      <c r="W5" s="201">
        <f t="shared" ref="W5:W68" si="12">IF(1/((350000*L)*(1/J5+1/K5))&gt;Isw_min, 350, 0.001/((Isw_min*L)*(1/J5+1/K5)))</f>
        <v>350</v>
      </c>
      <c r="X5" s="451">
        <f>MIN(1/(U5+V5)*1000, 350)</f>
        <v>350</v>
      </c>
      <c r="Z5" s="221">
        <f t="shared" ref="Z5:Z68" si="13">1/((W5*1000*L)*(1/J5+1/K5))</f>
        <v>1.1570365118752215</v>
      </c>
      <c r="AA5" s="177">
        <f t="shared" ref="AA5:AA68" si="14">L*Z5/K5*1000000</f>
        <v>1.7724211272598367</v>
      </c>
      <c r="AB5" s="177">
        <f t="shared" ref="AB5:AB36" si="15">0.5*AA5*Z5*Nps*W5/1000*(Pout/Pout_total)</f>
        <v>0.2871058342122137</v>
      </c>
      <c r="AC5" s="177"/>
      <c r="AD5" s="177">
        <f t="shared" ref="AD5:AD68" si="16">L*Isw_min/K5*1000000</f>
        <v>0.4595588235294118</v>
      </c>
      <c r="AE5" s="555">
        <f t="shared" ref="AE5:AE36" si="17">MAX(10, F5/(0.5*AD5/1000000*Isw_min*Nps)/1000*Pout_total/Pout)</f>
        <v>10</v>
      </c>
      <c r="AF5" s="538">
        <f t="shared" ref="AF5:AF36" si="18">0.5*AD5/1000000*Isw_min*Nps*W5*1000*(Pout/Pout_total)</f>
        <v>1.9301470588235291E-2</v>
      </c>
      <c r="AH5" s="177">
        <f t="shared" ref="AH5:AH36" si="19">SQRT((H5+I5)/(0.5*L*Fsw_DCM))</f>
        <v>7.8072005835882661E-5</v>
      </c>
      <c r="AI5" s="177">
        <f t="shared" ref="AI5:AI36" si="20">MAX(IF(F5&gt;AB5,T5,AH5),Isw_min)</f>
        <v>0.3</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0.28125</v>
      </c>
      <c r="AT5" s="5">
        <f>AR5-AS5</f>
        <v>99.71875</v>
      </c>
      <c r="AU5" s="177">
        <f>AS5/AR5</f>
        <v>2.8124999999999999E-3</v>
      </c>
      <c r="AW5" s="5">
        <f t="shared" ref="AW5:AW36" si="26">L*Iout^2/(2*Vripple1_spec*Vout*Npri_sec1^2)*1000000000*((1+N5)/(1-N5))^2</f>
        <v>0.80504166666666677</v>
      </c>
      <c r="AX5" s="5">
        <f t="shared" ref="AX5:AX36" si="27">L*F5^2/(2*Cout*Vout*Nps^2)*1000000000*((1+N5)/(1-N5))^2+F5*RCoutEsr</f>
        <v>3.0000000322016673E-9</v>
      </c>
      <c r="AY5" s="5">
        <f t="shared" ref="AY5:AY36" si="28">L*Iout2^2/(2*Vripple2_spec*Vout2*Npri_sec2^2)*1000000000*((1+N5)/(1-N5))^2</f>
        <v>0.20126041666666669</v>
      </c>
      <c r="AZ5" s="5">
        <f t="shared" ref="AZ5:AZ36" si="29">L*G5^2/(2*Cout2*Vout2*Npri_sec2^2)*1000000000*((1+N5)/(1-N5))^2+G5*CoutEsr2</f>
        <v>2.0000001463712122E-9</v>
      </c>
      <c r="BA5" s="5">
        <f t="shared" ref="BA5:BA36" si="30">(H5+I5)/Efficiency/J5*AT5/Vinripple1</f>
        <v>6.9249131944444435E-8</v>
      </c>
      <c r="BB5" s="469">
        <f t="shared" ref="BB5:BB36" si="31">((CD5/J5/Efficiency)*AT5/Cin+(CD5/J5/Efficiency)*RCinEsr)*1000</f>
        <v>1.1083194444444445E-5</v>
      </c>
      <c r="BC5" s="5"/>
      <c r="BD5" s="177">
        <f>AI5*SQRT(AU5/3)</f>
        <v>9.1855865354369178E-3</v>
      </c>
      <c r="BE5" s="177">
        <f t="shared" ref="BE5:BE36" si="32">AI5*Npri_sec1*SQRT((1-AU5)/3)*(Pout/Pout_total)</f>
        <v>0.13836907168872675</v>
      </c>
      <c r="BF5" s="177">
        <f t="shared" ref="BF5:BF36" si="33">AI5*Npri_sec2*SQRT((1-AU5)/3)*(Pout2/Pout_total)</f>
        <v>6.9184535844363376E-2</v>
      </c>
      <c r="BG5" s="177"/>
      <c r="BH5" s="538">
        <f t="shared" ref="BH5:BH68" si="34">Rdson*BD5^2</f>
        <v>2.953125E-5</v>
      </c>
      <c r="BI5" s="538">
        <f t="shared" ref="BI5:BI68" si="35">0.5*L5*AI5*AM5*1000*Trise</f>
        <v>7.7375999999999996E-4</v>
      </c>
      <c r="BJ5" s="538">
        <f t="shared" ref="BJ5:BJ68" si="36">Qg*Vdd*AM5*1000</f>
        <v>1.25E-4</v>
      </c>
      <c r="BK5" s="538">
        <f t="shared" ref="BK5:BK68" si="37">0.5*(Coss+Csw)*L5^2*AM5*1000</f>
        <v>1.3304545280000003E-3</v>
      </c>
      <c r="BL5">
        <f t="shared" ref="BL5:BL68" si="38">J5*IQ</f>
        <v>9.2800000000000001E-3</v>
      </c>
      <c r="BM5">
        <f t="shared" ref="BM5:BM36" si="39">(J5-Vdd)*Qg*AM5</f>
        <v>6.75E-7</v>
      </c>
      <c r="BN5">
        <f t="shared" ref="BN5:BN36" si="40">(BI5+BJ5+BK5+BL5+BM5+BH5*(1+RdsonTC*(Ta-25)))/(1-BH5*RdsonTC*ThetaJA)</f>
        <v>1.1543470391528796E-2</v>
      </c>
      <c r="BO5" s="469">
        <f>BN5*1000</f>
        <v>11.543470391528796</v>
      </c>
      <c r="BP5" s="177">
        <f t="shared" ref="BP5:BP36" si="41">(Vfwd2*F5+BE5^2*Rdiode)*(1+Diode_TC/1000*(Ta-25))</f>
        <v>7.3137723820000024E-3</v>
      </c>
      <c r="BQ5" s="177">
        <f t="shared" ref="BQ5:BQ36" si="42">(Vfwd2*G5+BF5^2*Rdiode)*(1+Diode_TC/1000*(Ta-25))</f>
        <v>1.8284433820000006E-3</v>
      </c>
      <c r="BR5" s="538"/>
      <c r="BT5" s="469">
        <f>SUM(BP5:BS5)*1000</f>
        <v>9.142215764000003</v>
      </c>
      <c r="BU5" s="538">
        <f t="shared" ref="BU5:BU68" si="43">Rdcr_pri*BD5^2</f>
        <v>8.4375000000000001E-6</v>
      </c>
      <c r="BV5" s="538">
        <f>Rdcr_sec*BE5^2</f>
        <v>5.7438000000000009E-4</v>
      </c>
      <c r="BW5" s="538">
        <f t="shared" ref="BW5:BW36" si="44">Rdcr_sec2*BF5^2</f>
        <v>2.3932500000000006E-4</v>
      </c>
      <c r="BX5" s="538">
        <f t="shared" ref="BX5:BX68" si="45">AI5^2.5*AM5^2.5*k_core</f>
        <v>0</v>
      </c>
      <c r="BY5" s="538">
        <f t="shared" ref="BY5:BY36" si="46">(BX5+(BU5+BV5+BW5)*(1+Ltc*(Ta-25)))/(1-(BU5+BV5+BW5)*Ltc*ThetaCa)</f>
        <v>9.2086016626233952E-4</v>
      </c>
      <c r="BZ5" s="538">
        <f>SUM(BU5:BX5)</f>
        <v>8.2214250000000016E-4</v>
      </c>
      <c r="CA5" s="641">
        <f t="shared" ref="CA5:CA36" si="47">0.5*Lleak*0.000000001*AI5^2*AM5*1000</f>
        <v>4.5000000000000003E-5</v>
      </c>
      <c r="CB5" s="469">
        <f>(BY5+CA5)*1000</f>
        <v>0.9658601662623395</v>
      </c>
      <c r="CC5" s="177">
        <f>SUM(BN5,BP5:BS5,BY5, CA5)</f>
        <v>2.165154632179114E-2</v>
      </c>
      <c r="CD5" s="5">
        <f>MIN(H5+I5,O5+P5)</f>
        <v>3.2000000000000002E-8</v>
      </c>
      <c r="CE5" s="177">
        <f>CD5/(CD5+CC5)</f>
        <v>1.4779523009550642E-6</v>
      </c>
      <c r="CF5" s="5">
        <f>CE5*100</f>
        <v>1.4779523009550641E-4</v>
      </c>
      <c r="CG5">
        <v>0</v>
      </c>
      <c r="CI5" s="571">
        <f t="shared" ref="CI5:CI36" si="48">IF(ABS(F5-Ioutmax_Vinnom)&lt;Iout/200, AM5, -50)</f>
        <v>-50</v>
      </c>
      <c r="CJ5">
        <f t="shared" ref="CJ5:CJ36" si="49">IF(ABS(F5-Ioutmax_Vinnom)&lt;Iout/200, (O5+P5)*CE5, -50)</f>
        <v>-50</v>
      </c>
    </row>
    <row r="6" spans="2:88" x14ac:dyDescent="0.25">
      <c r="E6" s="174">
        <v>1</v>
      </c>
      <c r="F6" s="221">
        <f>IF(PLOT_TYPE=1, E6/100*Iout, min_I*EXP(O6*rr/100))</f>
        <v>2E-3</v>
      </c>
      <c r="G6" s="221">
        <f t="shared" ref="G6:G37" si="50">IF(PLOT_TYPE=1, E6/100*Iout2, min_I*EXP(Q6*rr/100))</f>
        <v>1E-3</v>
      </c>
      <c r="H6" s="221">
        <f t="shared" si="0"/>
        <v>3.2000000000000001E-2</v>
      </c>
      <c r="I6" s="221">
        <f>G6*Vout2</f>
        <v>1.6E-2</v>
      </c>
      <c r="J6" s="551">
        <f t="shared" si="1"/>
        <v>32</v>
      </c>
      <c r="K6" s="451">
        <f t="shared" si="2"/>
        <v>19.584</v>
      </c>
      <c r="L6" s="451">
        <f t="shared" si="3"/>
        <v>51.584000000000003</v>
      </c>
      <c r="M6" s="451"/>
      <c r="N6" s="221">
        <f t="shared" si="4"/>
        <v>0.37965260545905705</v>
      </c>
      <c r="O6" s="176">
        <f t="shared" ref="O6:O37" si="51">N6*J6*Isw_max*0.5*Efficiency*Pout/(Pout+Pout2)</f>
        <v>5.4669975186104214</v>
      </c>
      <c r="P6" s="176">
        <f t="shared" si="5"/>
        <v>2.7334987593052107</v>
      </c>
      <c r="Q6" s="221">
        <f t="shared" si="6"/>
        <v>0.34168734491315134</v>
      </c>
      <c r="R6" s="221">
        <f t="shared" si="7"/>
        <v>0.34168734491315134</v>
      </c>
      <c r="S6" s="451">
        <f t="shared" si="8"/>
        <v>16</v>
      </c>
      <c r="T6" s="221">
        <f t="shared" si="9"/>
        <v>8.7799564270152515E-3</v>
      </c>
      <c r="U6" s="221">
        <f t="shared" si="10"/>
        <v>8.2312091503267976E-3</v>
      </c>
      <c r="V6" s="221">
        <f t="shared" si="11"/>
        <v>1.3449688154128754E-2</v>
      </c>
      <c r="W6" s="201">
        <f t="shared" si="12"/>
        <v>350</v>
      </c>
      <c r="X6" s="451">
        <f t="shared" ref="X6:X69" si="52">MIN(1/(U6+V6)*1000, 350)</f>
        <v>350</v>
      </c>
      <c r="Z6" s="221">
        <f t="shared" si="13"/>
        <v>1.1570365118752215</v>
      </c>
      <c r="AA6" s="177">
        <f t="shared" si="14"/>
        <v>1.7724211272598367</v>
      </c>
      <c r="AB6" s="177">
        <f t="shared" si="15"/>
        <v>0.2871058342122137</v>
      </c>
      <c r="AC6" s="177"/>
      <c r="AD6" s="177">
        <f t="shared" si="16"/>
        <v>0.4595588235294118</v>
      </c>
      <c r="AE6" s="555">
        <f t="shared" si="17"/>
        <v>36.266666666666673</v>
      </c>
      <c r="AF6" s="538">
        <f t="shared" si="18"/>
        <v>1.9301470588235291E-2</v>
      </c>
      <c r="AH6" s="177">
        <f t="shared" si="19"/>
        <v>9.561828874675149E-2</v>
      </c>
      <c r="AI6" s="177">
        <f t="shared" si="20"/>
        <v>0.3</v>
      </c>
      <c r="AJ6" s="177">
        <f t="shared" si="21"/>
        <v>1.0207238095238096</v>
      </c>
      <c r="AL6" s="555">
        <f t="shared" si="22"/>
        <v>2</v>
      </c>
      <c r="AM6" s="469">
        <f t="shared" si="23"/>
        <v>36.266666666666673</v>
      </c>
      <c r="AO6">
        <f t="shared" ref="AO6:AO69" si="53">IF(H6&gt;O6, "",AL6)</f>
        <v>2</v>
      </c>
      <c r="AP6" s="469">
        <f t="shared" si="24"/>
        <v>36.266666666666673</v>
      </c>
      <c r="AQ6" s="469"/>
      <c r="AR6" s="5">
        <f t="shared" ref="AR6:AR69" si="54">1/AM6*1000</f>
        <v>27.573529411764703</v>
      </c>
      <c r="AS6" s="5">
        <f t="shared" si="25"/>
        <v>0.28125</v>
      </c>
      <c r="AT6" s="5">
        <f t="shared" ref="AT6:AT69" si="55">AR6-AS6</f>
        <v>27.292279411764703</v>
      </c>
      <c r="AU6" s="177">
        <f t="shared" ref="AU6:AU69" si="56">AS6/AR6</f>
        <v>1.0200000000000001E-2</v>
      </c>
      <c r="AW6" s="5">
        <f t="shared" si="26"/>
        <v>0.80504166666666677</v>
      </c>
      <c r="AX6" s="5">
        <f t="shared" si="27"/>
        <v>6.1288066666666668E-3</v>
      </c>
      <c r="AY6" s="5">
        <f t="shared" si="28"/>
        <v>0.20126041666666669</v>
      </c>
      <c r="AZ6" s="5">
        <f t="shared" si="29"/>
        <v>2.1463712121212123E-3</v>
      </c>
      <c r="BA6" s="5">
        <f t="shared" si="30"/>
        <v>2.842945772058823E-2</v>
      </c>
      <c r="BB6" s="469">
        <f t="shared" si="31"/>
        <v>4.5537132352941168</v>
      </c>
      <c r="BC6" s="5"/>
      <c r="BD6" s="177">
        <f t="shared" ref="BD6:BD69" si="57">AI6*SQRT(AU6/3)</f>
        <v>1.7492855684535902E-2</v>
      </c>
      <c r="BE6" s="177">
        <f t="shared" si="32"/>
        <v>0.1378555766010211</v>
      </c>
      <c r="BF6" s="177">
        <f t="shared" si="33"/>
        <v>6.8927788300510551E-2</v>
      </c>
      <c r="BG6" s="177"/>
      <c r="BH6" s="538">
        <f t="shared" si="34"/>
        <v>1.071E-4</v>
      </c>
      <c r="BI6" s="538">
        <f t="shared" si="35"/>
        <v>2.8061696000000009E-3</v>
      </c>
      <c r="BJ6" s="538">
        <f t="shared" si="36"/>
        <v>4.5333333333333337E-4</v>
      </c>
      <c r="BK6" s="538">
        <f t="shared" si="37"/>
        <v>4.8251150882133347E-3</v>
      </c>
      <c r="BL6">
        <f t="shared" si="38"/>
        <v>9.2800000000000001E-3</v>
      </c>
      <c r="BM6">
        <f t="shared" si="39"/>
        <v>2.4480000000000005E-6</v>
      </c>
      <c r="BN6">
        <f t="shared" si="40"/>
        <v>1.7488970102721449E-2</v>
      </c>
      <c r="BO6" s="469">
        <f t="shared" ref="BO6:BO69" si="58">BN6*1000</f>
        <v>17.488970102721449</v>
      </c>
      <c r="BP6" s="177">
        <f t="shared" si="41"/>
        <v>8.0235891199999989E-3</v>
      </c>
      <c r="BQ6" s="177">
        <f t="shared" si="42"/>
        <v>2.1968972799999999E-3</v>
      </c>
      <c r="BR6" s="538"/>
      <c r="BT6" s="469">
        <f t="shared" ref="BT6:BT69" si="59">SUM(BP6:BS6)*1000</f>
        <v>10.220486399999999</v>
      </c>
      <c r="BU6" s="538">
        <f t="shared" si="43"/>
        <v>3.0600000000000005E-5</v>
      </c>
      <c r="BV6" s="538">
        <f t="shared" ref="BV6:BV68" si="60">Rdcr_sec*BE6^2</f>
        <v>5.7012479999999982E-4</v>
      </c>
      <c r="BW6" s="538">
        <f t="shared" si="44"/>
        <v>2.3755199999999995E-4</v>
      </c>
      <c r="BX6" s="538">
        <f t="shared" si="45"/>
        <v>0</v>
      </c>
      <c r="BY6" s="538">
        <f t="shared" si="46"/>
        <v>9.3893298285890262E-4</v>
      </c>
      <c r="BZ6" s="538">
        <f t="shared" ref="BZ6:BZ69" si="61">SUM(BU6:BX6)</f>
        <v>8.3827679999999973E-4</v>
      </c>
      <c r="CA6" s="641">
        <f t="shared" si="47"/>
        <v>1.6320000000000006E-4</v>
      </c>
      <c r="CB6" s="469">
        <f t="shared" ref="CB6:CB69" si="62">(BY6+CA6)*1000</f>
        <v>1.1021329828589028</v>
      </c>
      <c r="CC6" s="177">
        <f t="shared" ref="CC6:CC69" si="63">SUM(BN6,BP6:BS6,BY6, CA6)</f>
        <v>2.8811589485580349E-2</v>
      </c>
      <c r="CD6" s="5">
        <f t="shared" ref="CD6:CD69" si="64">MIN(H6+I6,O6+P6)</f>
        <v>4.8000000000000001E-2</v>
      </c>
      <c r="CE6" s="177">
        <f t="shared" ref="CE6:CE69" si="65">CD6/(CD6+CC6)</f>
        <v>0.62490569875540614</v>
      </c>
      <c r="CF6" s="5">
        <f t="shared" ref="CF6:CF69" si="66">CE6*100</f>
        <v>62.490569875540615</v>
      </c>
      <c r="CG6">
        <f t="shared" ref="CG6:CG37" si="67">F6/Iout*100</f>
        <v>1</v>
      </c>
      <c r="CI6" s="571">
        <f t="shared" si="48"/>
        <v>-50</v>
      </c>
      <c r="CJ6">
        <f t="shared" si="49"/>
        <v>-50</v>
      </c>
    </row>
    <row r="7" spans="2:88" x14ac:dyDescent="0.25">
      <c r="E7" s="174">
        <v>2</v>
      </c>
      <c r="F7" s="221">
        <f>IF(PLOT_TYPE=1, E7/100*Iout, min_I*EXP(O7*rr/100))</f>
        <v>4.0000000000000001E-3</v>
      </c>
      <c r="G7" s="221">
        <f t="shared" si="50"/>
        <v>2E-3</v>
      </c>
      <c r="H7" s="221">
        <f t="shared" si="0"/>
        <v>6.4000000000000001E-2</v>
      </c>
      <c r="I7" s="221">
        <f>G7*Vout2</f>
        <v>3.2000000000000001E-2</v>
      </c>
      <c r="J7" s="551">
        <f t="shared" si="1"/>
        <v>32</v>
      </c>
      <c r="K7" s="451">
        <f t="shared" si="2"/>
        <v>19.584</v>
      </c>
      <c r="L7" s="451">
        <f t="shared" si="3"/>
        <v>51.584000000000003</v>
      </c>
      <c r="M7" s="451"/>
      <c r="N7" s="221">
        <f t="shared" si="4"/>
        <v>0.37965260545905705</v>
      </c>
      <c r="O7" s="176">
        <f t="shared" si="51"/>
        <v>5.4669975186104214</v>
      </c>
      <c r="P7" s="176">
        <f t="shared" si="5"/>
        <v>2.7334987593052107</v>
      </c>
      <c r="Q7" s="221">
        <f t="shared" si="6"/>
        <v>0.34168734491315134</v>
      </c>
      <c r="R7" s="221">
        <f t="shared" si="7"/>
        <v>0.34168734491315134</v>
      </c>
      <c r="S7" s="451">
        <f t="shared" si="8"/>
        <v>16</v>
      </c>
      <c r="T7" s="221">
        <f t="shared" si="9"/>
        <v>1.7559912854030503E-2</v>
      </c>
      <c r="U7" s="221">
        <f t="shared" si="10"/>
        <v>1.6462418300653595E-2</v>
      </c>
      <c r="V7" s="221">
        <f t="shared" si="11"/>
        <v>2.6899376308257509E-2</v>
      </c>
      <c r="W7" s="201">
        <f t="shared" si="12"/>
        <v>350</v>
      </c>
      <c r="X7" s="451">
        <f t="shared" si="52"/>
        <v>350</v>
      </c>
      <c r="Z7" s="221">
        <f t="shared" si="13"/>
        <v>1.1570365118752215</v>
      </c>
      <c r="AA7" s="177">
        <f t="shared" si="14"/>
        <v>1.7724211272598367</v>
      </c>
      <c r="AB7" s="177">
        <f t="shared" si="15"/>
        <v>0.2871058342122137</v>
      </c>
      <c r="AC7" s="177"/>
      <c r="AD7" s="177">
        <f t="shared" si="16"/>
        <v>0.4595588235294118</v>
      </c>
      <c r="AE7" s="555">
        <f t="shared" si="17"/>
        <v>72.533333333333346</v>
      </c>
      <c r="AF7" s="538">
        <f t="shared" si="18"/>
        <v>1.9301470588235291E-2</v>
      </c>
      <c r="AH7" s="177">
        <f t="shared" si="19"/>
        <v>0.13522468075656266</v>
      </c>
      <c r="AI7" s="177">
        <f t="shared" si="20"/>
        <v>0.3</v>
      </c>
      <c r="AJ7" s="177">
        <f t="shared" si="21"/>
        <v>1.041447619047619</v>
      </c>
      <c r="AL7" s="555">
        <f t="shared" si="22"/>
        <v>4</v>
      </c>
      <c r="AM7" s="469">
        <f t="shared" si="23"/>
        <v>72.533333333333346</v>
      </c>
      <c r="AO7">
        <f t="shared" si="53"/>
        <v>4</v>
      </c>
      <c r="AP7" s="469">
        <f t="shared" si="24"/>
        <v>72.533333333333346</v>
      </c>
      <c r="AQ7" s="469"/>
      <c r="AR7" s="5">
        <f t="shared" si="54"/>
        <v>13.786764705882351</v>
      </c>
      <c r="AS7" s="5">
        <f t="shared" si="25"/>
        <v>0.28125</v>
      </c>
      <c r="AT7" s="5">
        <f t="shared" si="55"/>
        <v>13.505514705882351</v>
      </c>
      <c r="AU7" s="177">
        <f t="shared" si="56"/>
        <v>2.0400000000000001E-2</v>
      </c>
      <c r="AW7" s="5">
        <f t="shared" si="26"/>
        <v>0.80504166666666677</v>
      </c>
      <c r="AX7" s="5">
        <f t="shared" si="27"/>
        <v>1.2515226666666667E-2</v>
      </c>
      <c r="AY7" s="5">
        <f t="shared" si="28"/>
        <v>0.20126041666666669</v>
      </c>
      <c r="AZ7" s="5">
        <f t="shared" si="29"/>
        <v>4.5854848484848483E-3</v>
      </c>
      <c r="BA7" s="5">
        <f t="shared" si="30"/>
        <v>2.8136488970588232E-2</v>
      </c>
      <c r="BB7" s="469">
        <f t="shared" si="31"/>
        <v>4.5118382352941167</v>
      </c>
      <c r="BC7" s="5"/>
      <c r="BD7" s="177">
        <f t="shared" si="57"/>
        <v>2.4738633753705965E-2</v>
      </c>
      <c r="BE7" s="177">
        <f t="shared" si="32"/>
        <v>0.13714342857023809</v>
      </c>
      <c r="BF7" s="177">
        <f t="shared" si="33"/>
        <v>6.8571714285119045E-2</v>
      </c>
      <c r="BG7" s="177"/>
      <c r="BH7" s="538">
        <f t="shared" si="34"/>
        <v>2.1420000000000003E-4</v>
      </c>
      <c r="BI7" s="538">
        <f t="shared" si="35"/>
        <v>5.6123392000000018E-3</v>
      </c>
      <c r="BJ7" s="538">
        <f t="shared" si="36"/>
        <v>9.0666666666666673E-4</v>
      </c>
      <c r="BK7" s="538">
        <f t="shared" si="37"/>
        <v>9.6502301764266694E-3</v>
      </c>
      <c r="BL7">
        <f t="shared" si="38"/>
        <v>9.2800000000000001E-3</v>
      </c>
      <c r="BM7">
        <f t="shared" si="39"/>
        <v>4.8960000000000011E-6</v>
      </c>
      <c r="BN7">
        <f t="shared" si="40"/>
        <v>2.5698264635941926E-2</v>
      </c>
      <c r="BO7" s="469">
        <f t="shared" si="58"/>
        <v>25.698264635941925</v>
      </c>
      <c r="BP7" s="177">
        <f t="shared" si="41"/>
        <v>8.7127782399999999E-3</v>
      </c>
      <c r="BQ7" s="177">
        <f t="shared" si="42"/>
        <v>2.5601945599999999E-3</v>
      </c>
      <c r="BR7" s="538"/>
      <c r="BT7" s="469">
        <f t="shared" si="59"/>
        <v>11.2729728</v>
      </c>
      <c r="BU7" s="538">
        <f t="shared" si="43"/>
        <v>6.120000000000001E-5</v>
      </c>
      <c r="BV7" s="538">
        <f t="shared" si="60"/>
        <v>5.6424959999999984E-4</v>
      </c>
      <c r="BW7" s="538">
        <f t="shared" si="44"/>
        <v>2.3510399999999998E-4</v>
      </c>
      <c r="BX7" s="538">
        <f t="shared" si="45"/>
        <v>0</v>
      </c>
      <c r="BY7" s="538">
        <f t="shared" si="46"/>
        <v>9.6388639007223727E-4</v>
      </c>
      <c r="BZ7" s="538">
        <f t="shared" si="61"/>
        <v>8.6055359999999978E-4</v>
      </c>
      <c r="CA7" s="641">
        <f t="shared" si="47"/>
        <v>3.2640000000000013E-4</v>
      </c>
      <c r="CB7" s="469">
        <f t="shared" si="62"/>
        <v>1.2902863900722374</v>
      </c>
      <c r="CC7" s="177">
        <f t="shared" si="63"/>
        <v>3.8261523826014159E-2</v>
      </c>
      <c r="CD7" s="5">
        <f t="shared" si="64"/>
        <v>9.6000000000000002E-2</v>
      </c>
      <c r="CE7" s="177">
        <f t="shared" si="65"/>
        <v>0.71502242239112213</v>
      </c>
      <c r="CF7" s="5">
        <f t="shared" si="66"/>
        <v>71.502242239112206</v>
      </c>
      <c r="CG7">
        <f t="shared" si="67"/>
        <v>2</v>
      </c>
      <c r="CI7" s="571">
        <f t="shared" si="48"/>
        <v>-50</v>
      </c>
      <c r="CJ7">
        <f t="shared" si="49"/>
        <v>-50</v>
      </c>
    </row>
    <row r="8" spans="2:88" x14ac:dyDescent="0.25">
      <c r="E8" s="174">
        <v>3</v>
      </c>
      <c r="F8" s="221">
        <f t="shared" ref="F8:F39" si="68">IF(PLOT_TYPE=1, E8/100*Iout_max, min_I*EXP(O8*rr/100))</f>
        <v>6.0000000000000001E-3</v>
      </c>
      <c r="G8" s="221">
        <f t="shared" si="50"/>
        <v>3.0000000000000001E-3</v>
      </c>
      <c r="H8" s="221">
        <f t="shared" si="0"/>
        <v>9.6000000000000002E-2</v>
      </c>
      <c r="I8" s="221">
        <f t="shared" ref="I8:I39" si="69">Vout2*G8</f>
        <v>4.8000000000000001E-2</v>
      </c>
      <c r="J8" s="551">
        <f t="shared" si="1"/>
        <v>32</v>
      </c>
      <c r="K8" s="451">
        <f t="shared" si="2"/>
        <v>19.584</v>
      </c>
      <c r="L8" s="451">
        <f t="shared" si="3"/>
        <v>51.584000000000003</v>
      </c>
      <c r="M8" s="451"/>
      <c r="N8" s="221">
        <f t="shared" si="4"/>
        <v>0.37965260545905705</v>
      </c>
      <c r="O8" s="176">
        <f t="shared" si="51"/>
        <v>5.4669975186104214</v>
      </c>
      <c r="P8" s="176">
        <f t="shared" si="5"/>
        <v>2.7334987593052107</v>
      </c>
      <c r="Q8" s="221">
        <f t="shared" si="6"/>
        <v>0.34168734491315134</v>
      </c>
      <c r="R8" s="221">
        <f t="shared" si="7"/>
        <v>0.34168734491315134</v>
      </c>
      <c r="S8" s="451">
        <f t="shared" si="8"/>
        <v>16</v>
      </c>
      <c r="T8" s="221">
        <f t="shared" si="9"/>
        <v>2.6339869281045758E-2</v>
      </c>
      <c r="U8" s="221">
        <f t="shared" si="10"/>
        <v>2.4693627450980398E-2</v>
      </c>
      <c r="V8" s="221">
        <f t="shared" si="11"/>
        <v>4.0349064462386272E-2</v>
      </c>
      <c r="W8" s="201">
        <f t="shared" si="12"/>
        <v>350</v>
      </c>
      <c r="X8" s="451">
        <f t="shared" si="52"/>
        <v>350</v>
      </c>
      <c r="Z8" s="221">
        <f t="shared" si="13"/>
        <v>1.1570365118752215</v>
      </c>
      <c r="AA8" s="177">
        <f t="shared" si="14"/>
        <v>1.7724211272598367</v>
      </c>
      <c r="AB8" s="177">
        <f t="shared" si="15"/>
        <v>0.2871058342122137</v>
      </c>
      <c r="AC8" s="177"/>
      <c r="AD8" s="177">
        <f t="shared" si="16"/>
        <v>0.4595588235294118</v>
      </c>
      <c r="AE8" s="555">
        <f t="shared" si="17"/>
        <v>108.80000000000004</v>
      </c>
      <c r="AF8" s="538">
        <f t="shared" si="18"/>
        <v>1.9301470588235291E-2</v>
      </c>
      <c r="AH8" s="177">
        <f t="shared" si="19"/>
        <v>0.16561573424216502</v>
      </c>
      <c r="AI8" s="177">
        <f t="shared" si="20"/>
        <v>0.3</v>
      </c>
      <c r="AJ8" s="177">
        <f t="shared" si="21"/>
        <v>1.0621714285714285</v>
      </c>
      <c r="AL8" s="555">
        <f t="shared" si="22"/>
        <v>6</v>
      </c>
      <c r="AM8" s="469">
        <f t="shared" si="23"/>
        <v>108.80000000000004</v>
      </c>
      <c r="AO8">
        <f t="shared" si="53"/>
        <v>6</v>
      </c>
      <c r="AP8" s="469">
        <f t="shared" si="24"/>
        <v>108.80000000000004</v>
      </c>
      <c r="AQ8" s="469"/>
      <c r="AR8" s="5">
        <f t="shared" si="54"/>
        <v>9.191176470588232</v>
      </c>
      <c r="AS8" s="5">
        <f t="shared" si="25"/>
        <v>0.28125</v>
      </c>
      <c r="AT8" s="5">
        <f t="shared" si="55"/>
        <v>8.909926470588232</v>
      </c>
      <c r="AU8" s="177">
        <f t="shared" si="56"/>
        <v>3.0600000000000013E-2</v>
      </c>
      <c r="AW8" s="5">
        <f t="shared" si="26"/>
        <v>0.80504166666666677</v>
      </c>
      <c r="AX8" s="5">
        <f t="shared" si="27"/>
        <v>1.9159260000000001E-2</v>
      </c>
      <c r="AY8" s="5">
        <f t="shared" si="28"/>
        <v>0.20126041666666669</v>
      </c>
      <c r="AZ8" s="5">
        <f t="shared" si="29"/>
        <v>7.3173409090909088E-3</v>
      </c>
      <c r="BA8" s="5">
        <f t="shared" si="30"/>
        <v>2.7843520220588225E-2</v>
      </c>
      <c r="BB8" s="469">
        <f t="shared" si="31"/>
        <v>4.4699632352941165</v>
      </c>
      <c r="BC8" s="5"/>
      <c r="BD8" s="177">
        <f t="shared" si="57"/>
        <v>3.029851481508624E-2</v>
      </c>
      <c r="BE8" s="177">
        <f t="shared" si="32"/>
        <v>0.13642756319747121</v>
      </c>
      <c r="BF8" s="177">
        <f t="shared" si="33"/>
        <v>6.8213781598735604E-2</v>
      </c>
      <c r="BG8" s="177"/>
      <c r="BH8" s="538">
        <f t="shared" si="34"/>
        <v>3.2130000000000011E-4</v>
      </c>
      <c r="BI8" s="538">
        <f t="shared" si="35"/>
        <v>8.4185088000000054E-3</v>
      </c>
      <c r="BJ8" s="538">
        <f t="shared" si="36"/>
        <v>1.3600000000000005E-3</v>
      </c>
      <c r="BK8" s="538">
        <f t="shared" si="37"/>
        <v>1.4475345264640008E-2</v>
      </c>
      <c r="BL8">
        <f t="shared" si="38"/>
        <v>9.2800000000000001E-3</v>
      </c>
      <c r="BM8">
        <f t="shared" si="39"/>
        <v>7.3440000000000029E-6</v>
      </c>
      <c r="BN8">
        <f t="shared" si="40"/>
        <v>3.3907883618894762E-2</v>
      </c>
      <c r="BO8" s="469">
        <f t="shared" si="58"/>
        <v>33.907883618894765</v>
      </c>
      <c r="BP8" s="177">
        <f t="shared" si="41"/>
        <v>9.401967360000001E-3</v>
      </c>
      <c r="BQ8" s="177">
        <f t="shared" si="42"/>
        <v>2.9234918400000008E-3</v>
      </c>
      <c r="BR8" s="538"/>
      <c r="BT8" s="469">
        <f t="shared" si="59"/>
        <v>12.325459200000001</v>
      </c>
      <c r="BU8" s="538">
        <f t="shared" si="43"/>
        <v>9.1800000000000049E-5</v>
      </c>
      <c r="BV8" s="538">
        <f t="shared" si="60"/>
        <v>5.5837439999999996E-4</v>
      </c>
      <c r="BW8" s="538">
        <f t="shared" si="44"/>
        <v>2.3265600000000003E-4</v>
      </c>
      <c r="BX8" s="538">
        <f t="shared" si="45"/>
        <v>0</v>
      </c>
      <c r="BY8" s="538">
        <f t="shared" si="46"/>
        <v>9.8883988623298395E-4</v>
      </c>
      <c r="BZ8" s="538">
        <f t="shared" si="61"/>
        <v>8.8283040000000006E-4</v>
      </c>
      <c r="CA8" s="641">
        <f t="shared" si="47"/>
        <v>4.896000000000003E-4</v>
      </c>
      <c r="CB8" s="469">
        <f t="shared" si="62"/>
        <v>1.4784398862329844</v>
      </c>
      <c r="CC8" s="177">
        <f t="shared" si="63"/>
        <v>4.7711782705127742E-2</v>
      </c>
      <c r="CD8" s="5">
        <f t="shared" si="64"/>
        <v>0.14400000000000002</v>
      </c>
      <c r="CE8" s="177">
        <f t="shared" si="65"/>
        <v>0.75112754139627758</v>
      </c>
      <c r="CF8" s="5">
        <f t="shared" si="66"/>
        <v>75.112754139627754</v>
      </c>
      <c r="CG8">
        <f t="shared" si="67"/>
        <v>3</v>
      </c>
      <c r="CI8" s="571">
        <f t="shared" si="48"/>
        <v>-50</v>
      </c>
      <c r="CJ8">
        <f t="shared" si="49"/>
        <v>-50</v>
      </c>
    </row>
    <row r="9" spans="2:88" x14ac:dyDescent="0.25">
      <c r="E9" s="174">
        <v>4</v>
      </c>
      <c r="F9" s="221">
        <f t="shared" si="68"/>
        <v>8.0000000000000002E-3</v>
      </c>
      <c r="G9" s="221">
        <f t="shared" si="50"/>
        <v>4.0000000000000001E-3</v>
      </c>
      <c r="H9" s="221">
        <f t="shared" si="0"/>
        <v>0.128</v>
      </c>
      <c r="I9" s="221">
        <f t="shared" si="69"/>
        <v>6.4000000000000001E-2</v>
      </c>
      <c r="J9" s="551">
        <f t="shared" si="1"/>
        <v>32</v>
      </c>
      <c r="K9" s="451">
        <f t="shared" si="2"/>
        <v>19.584</v>
      </c>
      <c r="L9" s="451">
        <f t="shared" si="3"/>
        <v>51.584000000000003</v>
      </c>
      <c r="M9" s="451"/>
      <c r="N9" s="221">
        <f t="shared" si="4"/>
        <v>0.37965260545905705</v>
      </c>
      <c r="O9" s="176">
        <f t="shared" si="51"/>
        <v>5.4669975186104214</v>
      </c>
      <c r="P9" s="176">
        <f t="shared" si="5"/>
        <v>2.7334987593052107</v>
      </c>
      <c r="Q9" s="221">
        <f t="shared" si="6"/>
        <v>0.34168734491315134</v>
      </c>
      <c r="R9" s="221">
        <f t="shared" si="7"/>
        <v>0.34168734491315134</v>
      </c>
      <c r="S9" s="451">
        <f t="shared" si="8"/>
        <v>16</v>
      </c>
      <c r="T9" s="221">
        <f t="shared" si="9"/>
        <v>3.5119825708061006E-2</v>
      </c>
      <c r="U9" s="221">
        <f t="shared" si="10"/>
        <v>3.2924836601307191E-2</v>
      </c>
      <c r="V9" s="221">
        <f t="shared" si="11"/>
        <v>5.3798752616515018E-2</v>
      </c>
      <c r="W9" s="201">
        <f t="shared" si="12"/>
        <v>350</v>
      </c>
      <c r="X9" s="451">
        <f t="shared" si="52"/>
        <v>350</v>
      </c>
      <c r="Z9" s="221">
        <f t="shared" si="13"/>
        <v>1.1570365118752215</v>
      </c>
      <c r="AA9" s="177">
        <f t="shared" si="14"/>
        <v>1.7724211272598367</v>
      </c>
      <c r="AB9" s="177">
        <f t="shared" si="15"/>
        <v>0.2871058342122137</v>
      </c>
      <c r="AC9" s="177"/>
      <c r="AD9" s="177">
        <f t="shared" si="16"/>
        <v>0.4595588235294118</v>
      </c>
      <c r="AE9" s="555">
        <f t="shared" si="17"/>
        <v>145.06666666666669</v>
      </c>
      <c r="AF9" s="538">
        <f t="shared" si="18"/>
        <v>1.9301470588235291E-2</v>
      </c>
      <c r="AH9" s="177">
        <f t="shared" si="19"/>
        <v>0.19123657749350298</v>
      </c>
      <c r="AI9" s="177">
        <f t="shared" si="20"/>
        <v>0.3</v>
      </c>
      <c r="AJ9" s="177">
        <f t="shared" si="21"/>
        <v>1.0828952380952381</v>
      </c>
      <c r="AL9" s="555">
        <f t="shared" si="22"/>
        <v>8</v>
      </c>
      <c r="AM9" s="469">
        <f t="shared" si="23"/>
        <v>145.06666666666669</v>
      </c>
      <c r="AO9">
        <f t="shared" si="53"/>
        <v>8</v>
      </c>
      <c r="AP9" s="469">
        <f t="shared" si="24"/>
        <v>145.06666666666669</v>
      </c>
      <c r="AQ9" s="469"/>
      <c r="AR9" s="5">
        <f t="shared" si="54"/>
        <v>6.8933823529411757</v>
      </c>
      <c r="AS9" s="5">
        <f t="shared" si="25"/>
        <v>0.28125</v>
      </c>
      <c r="AT9" s="5">
        <f t="shared" si="55"/>
        <v>6.6121323529411757</v>
      </c>
      <c r="AU9" s="177">
        <f t="shared" si="56"/>
        <v>4.0800000000000003E-2</v>
      </c>
      <c r="AW9" s="5">
        <f t="shared" si="26"/>
        <v>0.80504166666666677</v>
      </c>
      <c r="AX9" s="5">
        <f t="shared" si="27"/>
        <v>2.6060906666666668E-2</v>
      </c>
      <c r="AY9" s="5">
        <f t="shared" si="28"/>
        <v>0.20126041666666669</v>
      </c>
      <c r="AZ9" s="5">
        <f t="shared" si="29"/>
        <v>1.0341939393939393E-2</v>
      </c>
      <c r="BA9" s="5">
        <f t="shared" si="30"/>
        <v>2.7550551470588231E-2</v>
      </c>
      <c r="BB9" s="469">
        <f t="shared" si="31"/>
        <v>4.4280882352941164</v>
      </c>
      <c r="BC9" s="5"/>
      <c r="BD9" s="177">
        <f t="shared" si="57"/>
        <v>3.4985711369071804E-2</v>
      </c>
      <c r="BE9" s="177">
        <f t="shared" si="32"/>
        <v>0.13570792165529616</v>
      </c>
      <c r="BF9" s="177">
        <f t="shared" si="33"/>
        <v>6.785396082764808E-2</v>
      </c>
      <c r="BG9" s="177"/>
      <c r="BH9" s="538">
        <f t="shared" si="34"/>
        <v>4.284E-4</v>
      </c>
      <c r="BI9" s="538">
        <f t="shared" si="35"/>
        <v>1.1224678400000004E-2</v>
      </c>
      <c r="BJ9" s="538">
        <f t="shared" si="36"/>
        <v>1.8133333333333335E-3</v>
      </c>
      <c r="BK9" s="538">
        <f t="shared" si="37"/>
        <v>1.9300460352853339E-2</v>
      </c>
      <c r="BL9">
        <f t="shared" si="38"/>
        <v>9.2800000000000001E-3</v>
      </c>
      <c r="BM9">
        <f t="shared" si="39"/>
        <v>9.7920000000000021E-6</v>
      </c>
      <c r="BN9">
        <f t="shared" si="40"/>
        <v>4.2117827070814788E-2</v>
      </c>
      <c r="BO9" s="469">
        <f t="shared" si="58"/>
        <v>42.117827070814791</v>
      </c>
      <c r="BP9" s="177">
        <f t="shared" si="41"/>
        <v>1.0091156480000002E-2</v>
      </c>
      <c r="BQ9" s="177">
        <f t="shared" si="42"/>
        <v>3.2867891200000004E-3</v>
      </c>
      <c r="BR9" s="538"/>
      <c r="BT9" s="469">
        <f t="shared" si="59"/>
        <v>13.377945600000004</v>
      </c>
      <c r="BU9" s="538">
        <f t="shared" si="43"/>
        <v>1.2240000000000002E-4</v>
      </c>
      <c r="BV9" s="538">
        <f t="shared" si="60"/>
        <v>5.5249919999999998E-4</v>
      </c>
      <c r="BW9" s="538">
        <f t="shared" si="44"/>
        <v>2.3020800000000003E-4</v>
      </c>
      <c r="BX9" s="538">
        <f t="shared" si="45"/>
        <v>0</v>
      </c>
      <c r="BY9" s="538">
        <f t="shared" si="46"/>
        <v>1.0137934713416181E-3</v>
      </c>
      <c r="BZ9" s="538">
        <f t="shared" si="61"/>
        <v>9.0510720000000012E-4</v>
      </c>
      <c r="CA9" s="641">
        <f t="shared" si="47"/>
        <v>6.5280000000000026E-4</v>
      </c>
      <c r="CB9" s="469">
        <f t="shared" si="62"/>
        <v>1.6665934713416184</v>
      </c>
      <c r="CC9" s="177">
        <f t="shared" si="63"/>
        <v>5.7162366142156411E-2</v>
      </c>
      <c r="CD9" s="5">
        <f t="shared" si="64"/>
        <v>0.192</v>
      </c>
      <c r="CE9" s="177">
        <f t="shared" si="65"/>
        <v>0.77058186183083865</v>
      </c>
      <c r="CF9" s="5">
        <f t="shared" si="66"/>
        <v>77.058186183083862</v>
      </c>
      <c r="CG9">
        <f t="shared" si="67"/>
        <v>4</v>
      </c>
      <c r="CI9" s="571">
        <f t="shared" si="48"/>
        <v>-50</v>
      </c>
      <c r="CJ9">
        <f t="shared" si="49"/>
        <v>-50</v>
      </c>
    </row>
    <row r="10" spans="2:88" x14ac:dyDescent="0.25">
      <c r="E10" s="174">
        <v>5</v>
      </c>
      <c r="F10" s="221">
        <f t="shared" si="68"/>
        <v>1.0000000000000002E-2</v>
      </c>
      <c r="G10" s="221">
        <f t="shared" si="50"/>
        <v>5.000000000000001E-3</v>
      </c>
      <c r="H10" s="221">
        <f t="shared" si="0"/>
        <v>0.16000000000000003</v>
      </c>
      <c r="I10" s="221">
        <f t="shared" si="69"/>
        <v>8.0000000000000016E-2</v>
      </c>
      <c r="J10" s="551">
        <f t="shared" si="1"/>
        <v>32</v>
      </c>
      <c r="K10" s="451">
        <f t="shared" si="2"/>
        <v>19.584</v>
      </c>
      <c r="L10" s="451">
        <f t="shared" si="3"/>
        <v>51.584000000000003</v>
      </c>
      <c r="M10" s="451"/>
      <c r="N10" s="221">
        <f t="shared" si="4"/>
        <v>0.37965260545905705</v>
      </c>
      <c r="O10" s="176">
        <f t="shared" si="51"/>
        <v>5.4669975186104214</v>
      </c>
      <c r="P10" s="176">
        <f t="shared" si="5"/>
        <v>2.7334987593052107</v>
      </c>
      <c r="Q10" s="221">
        <f t="shared" si="6"/>
        <v>0.34168734491315134</v>
      </c>
      <c r="R10" s="221">
        <f t="shared" si="7"/>
        <v>0.34168734491315134</v>
      </c>
      <c r="S10" s="451">
        <f t="shared" si="8"/>
        <v>16</v>
      </c>
      <c r="T10" s="221">
        <f t="shared" si="9"/>
        <v>4.3899782135076268E-2</v>
      </c>
      <c r="U10" s="221">
        <f t="shared" si="10"/>
        <v>4.1156045751634E-2</v>
      </c>
      <c r="V10" s="221">
        <f t="shared" si="11"/>
        <v>6.7248440770643805E-2</v>
      </c>
      <c r="W10" s="201">
        <f t="shared" si="12"/>
        <v>350</v>
      </c>
      <c r="X10" s="451">
        <f t="shared" si="52"/>
        <v>350</v>
      </c>
      <c r="Z10" s="221">
        <f t="shared" si="13"/>
        <v>1.1570365118752215</v>
      </c>
      <c r="AA10" s="177">
        <f t="shared" si="14"/>
        <v>1.7724211272598367</v>
      </c>
      <c r="AB10" s="177">
        <f t="shared" si="15"/>
        <v>0.2871058342122137</v>
      </c>
      <c r="AC10" s="177"/>
      <c r="AD10" s="177">
        <f t="shared" si="16"/>
        <v>0.4595588235294118</v>
      </c>
      <c r="AE10" s="555">
        <f t="shared" si="17"/>
        <v>181.3333333333334</v>
      </c>
      <c r="AF10" s="538">
        <f t="shared" si="18"/>
        <v>1.9301470588235291E-2</v>
      </c>
      <c r="AH10" s="177">
        <f t="shared" si="19"/>
        <v>0.21380899352993951</v>
      </c>
      <c r="AI10" s="177">
        <f t="shared" si="20"/>
        <v>0.3</v>
      </c>
      <c r="AJ10" s="177">
        <f t="shared" si="21"/>
        <v>1.1036190476190477</v>
      </c>
      <c r="AL10" s="555">
        <f t="shared" si="22"/>
        <v>10.000000000000002</v>
      </c>
      <c r="AM10" s="469">
        <f t="shared" si="23"/>
        <v>181.3333333333334</v>
      </c>
      <c r="AO10">
        <f t="shared" si="53"/>
        <v>10.000000000000002</v>
      </c>
      <c r="AP10" s="469">
        <f t="shared" si="24"/>
        <v>181.3333333333334</v>
      </c>
      <c r="AQ10" s="469"/>
      <c r="AR10" s="5">
        <f t="shared" si="54"/>
        <v>5.5147058823529393</v>
      </c>
      <c r="AS10" s="5">
        <f t="shared" si="25"/>
        <v>0.28125</v>
      </c>
      <c r="AT10" s="5">
        <f t="shared" si="55"/>
        <v>5.2334558823529393</v>
      </c>
      <c r="AU10" s="177">
        <f t="shared" si="56"/>
        <v>5.1000000000000018E-2</v>
      </c>
      <c r="AW10" s="5">
        <f t="shared" si="26"/>
        <v>0.80504166666666677</v>
      </c>
      <c r="AX10" s="5">
        <f t="shared" si="27"/>
        <v>3.3220166666666676E-2</v>
      </c>
      <c r="AY10" s="5">
        <f t="shared" si="28"/>
        <v>0.20126041666666669</v>
      </c>
      <c r="AZ10" s="5">
        <f t="shared" si="29"/>
        <v>1.3659280303030305E-2</v>
      </c>
      <c r="BA10" s="5">
        <f t="shared" si="30"/>
        <v>2.7257582720588227E-2</v>
      </c>
      <c r="BB10" s="469">
        <f t="shared" si="31"/>
        <v>4.3862132352941163</v>
      </c>
      <c r="BC10" s="5"/>
      <c r="BD10" s="177">
        <f t="shared" si="57"/>
        <v>3.9115214431215899E-2</v>
      </c>
      <c r="BE10" s="177">
        <f t="shared" si="32"/>
        <v>0.1349844435481363</v>
      </c>
      <c r="BF10" s="177">
        <f t="shared" si="33"/>
        <v>6.7492221774068148E-2</v>
      </c>
      <c r="BG10" s="177"/>
      <c r="BH10" s="538">
        <f t="shared" si="34"/>
        <v>5.3550000000000017E-4</v>
      </c>
      <c r="BI10" s="538">
        <f t="shared" si="35"/>
        <v>1.4030848000000005E-2</v>
      </c>
      <c r="BJ10" s="538">
        <f t="shared" si="36"/>
        <v>2.2666666666666673E-3</v>
      </c>
      <c r="BK10" s="538">
        <f t="shared" si="37"/>
        <v>2.412557544106668E-2</v>
      </c>
      <c r="BL10">
        <f t="shared" si="38"/>
        <v>9.2800000000000001E-3</v>
      </c>
      <c r="BM10">
        <f t="shared" si="39"/>
        <v>1.2240000000000005E-5</v>
      </c>
      <c r="BN10">
        <f t="shared" si="40"/>
        <v>5.0328095010938413E-2</v>
      </c>
      <c r="BO10" s="469">
        <f t="shared" si="58"/>
        <v>50.328095010938412</v>
      </c>
      <c r="BP10" s="177">
        <f t="shared" si="41"/>
        <v>1.0780345600000001E-2</v>
      </c>
      <c r="BQ10" s="177">
        <f t="shared" si="42"/>
        <v>3.6500864E-3</v>
      </c>
      <c r="BR10" s="538"/>
      <c r="BT10" s="469">
        <f t="shared" si="59"/>
        <v>14.430432000000001</v>
      </c>
      <c r="BU10" s="538">
        <f t="shared" si="43"/>
        <v>1.5300000000000006E-4</v>
      </c>
      <c r="BV10" s="538">
        <f t="shared" si="60"/>
        <v>5.4662399999999979E-4</v>
      </c>
      <c r="BW10" s="538">
        <f t="shared" si="44"/>
        <v>2.2775999999999995E-4</v>
      </c>
      <c r="BX10" s="538">
        <f t="shared" si="45"/>
        <v>0</v>
      </c>
      <c r="BY10" s="538">
        <f t="shared" si="46"/>
        <v>1.038747145398615E-3</v>
      </c>
      <c r="BZ10" s="538">
        <f t="shared" si="61"/>
        <v>9.2738399999999974E-4</v>
      </c>
      <c r="CA10" s="641">
        <f t="shared" si="47"/>
        <v>8.1600000000000043E-4</v>
      </c>
      <c r="CB10" s="469">
        <f t="shared" si="62"/>
        <v>1.8547471453986153</v>
      </c>
      <c r="CC10" s="177">
        <f t="shared" si="63"/>
        <v>6.6613274156337027E-2</v>
      </c>
      <c r="CD10" s="5">
        <f t="shared" si="64"/>
        <v>0.24000000000000005</v>
      </c>
      <c r="CE10" s="177">
        <f t="shared" si="65"/>
        <v>0.78274497625835981</v>
      </c>
      <c r="CF10" s="5">
        <f t="shared" si="66"/>
        <v>78.274497625835977</v>
      </c>
      <c r="CG10">
        <f t="shared" si="67"/>
        <v>5.0000000000000009</v>
      </c>
      <c r="CI10" s="571">
        <f t="shared" si="48"/>
        <v>-50</v>
      </c>
      <c r="CJ10">
        <f t="shared" si="49"/>
        <v>-50</v>
      </c>
    </row>
    <row r="11" spans="2:88" x14ac:dyDescent="0.25">
      <c r="E11" s="174">
        <v>6</v>
      </c>
      <c r="F11" s="221">
        <f t="shared" si="68"/>
        <v>1.2E-2</v>
      </c>
      <c r="G11" s="221">
        <f t="shared" si="50"/>
        <v>6.0000000000000001E-3</v>
      </c>
      <c r="H11" s="221">
        <f t="shared" si="0"/>
        <v>0.192</v>
      </c>
      <c r="I11" s="221">
        <f t="shared" si="69"/>
        <v>9.6000000000000002E-2</v>
      </c>
      <c r="J11" s="551">
        <f t="shared" si="1"/>
        <v>32</v>
      </c>
      <c r="K11" s="451">
        <f t="shared" si="2"/>
        <v>19.584</v>
      </c>
      <c r="L11" s="451">
        <f t="shared" si="3"/>
        <v>51.584000000000003</v>
      </c>
      <c r="M11" s="451"/>
      <c r="N11" s="221">
        <f t="shared" si="4"/>
        <v>0.37965260545905705</v>
      </c>
      <c r="O11" s="176">
        <f t="shared" si="51"/>
        <v>5.4669975186104214</v>
      </c>
      <c r="P11" s="176">
        <f t="shared" si="5"/>
        <v>2.7334987593052107</v>
      </c>
      <c r="Q11" s="221">
        <f t="shared" si="6"/>
        <v>0.34168734491315134</v>
      </c>
      <c r="R11" s="221">
        <f t="shared" si="7"/>
        <v>0.34168734491315134</v>
      </c>
      <c r="S11" s="451">
        <f t="shared" si="8"/>
        <v>16</v>
      </c>
      <c r="T11" s="221">
        <f t="shared" si="9"/>
        <v>5.2679738562091516E-2</v>
      </c>
      <c r="U11" s="221">
        <f t="shared" si="10"/>
        <v>4.9387254901960796E-2</v>
      </c>
      <c r="V11" s="221">
        <f t="shared" si="11"/>
        <v>8.0698128924772544E-2</v>
      </c>
      <c r="W11" s="201">
        <f t="shared" si="12"/>
        <v>350</v>
      </c>
      <c r="X11" s="451">
        <f t="shared" si="52"/>
        <v>350</v>
      </c>
      <c r="Z11" s="221">
        <f t="shared" si="13"/>
        <v>1.1570365118752215</v>
      </c>
      <c r="AA11" s="177">
        <f t="shared" si="14"/>
        <v>1.7724211272598367</v>
      </c>
      <c r="AB11" s="177">
        <f t="shared" si="15"/>
        <v>0.2871058342122137</v>
      </c>
      <c r="AC11" s="177"/>
      <c r="AD11" s="177">
        <f t="shared" si="16"/>
        <v>0.4595588235294118</v>
      </c>
      <c r="AE11" s="555">
        <f t="shared" si="17"/>
        <v>217.60000000000008</v>
      </c>
      <c r="AF11" s="538">
        <f t="shared" si="18"/>
        <v>1.9301470588235291E-2</v>
      </c>
      <c r="AH11" s="177">
        <f t="shared" si="19"/>
        <v>0.23421601750764798</v>
      </c>
      <c r="AI11" s="177">
        <f t="shared" si="20"/>
        <v>0.3</v>
      </c>
      <c r="AJ11" s="177">
        <f t="shared" si="21"/>
        <v>1.1243428571428571</v>
      </c>
      <c r="AL11" s="555">
        <f t="shared" si="22"/>
        <v>12</v>
      </c>
      <c r="AM11" s="469">
        <f t="shared" si="23"/>
        <v>217.60000000000008</v>
      </c>
      <c r="AO11">
        <f t="shared" si="53"/>
        <v>12</v>
      </c>
      <c r="AP11" s="469">
        <f t="shared" si="24"/>
        <v>217.60000000000008</v>
      </c>
      <c r="AQ11" s="469"/>
      <c r="AR11" s="5">
        <f t="shared" si="54"/>
        <v>4.595588235294116</v>
      </c>
      <c r="AS11" s="5">
        <f t="shared" si="25"/>
        <v>0.28125</v>
      </c>
      <c r="AT11" s="5">
        <f t="shared" si="55"/>
        <v>4.314338235294116</v>
      </c>
      <c r="AU11" s="177">
        <f t="shared" si="56"/>
        <v>6.1200000000000025E-2</v>
      </c>
      <c r="AW11" s="5">
        <f t="shared" si="26"/>
        <v>0.80504166666666677</v>
      </c>
      <c r="AX11" s="5">
        <f t="shared" si="27"/>
        <v>4.0637039999999999E-2</v>
      </c>
      <c r="AY11" s="5">
        <f t="shared" si="28"/>
        <v>0.20126041666666669</v>
      </c>
      <c r="AZ11" s="5">
        <f t="shared" si="29"/>
        <v>1.7269363636363635E-2</v>
      </c>
      <c r="BA11" s="5">
        <f t="shared" si="30"/>
        <v>2.6964613970588226E-2</v>
      </c>
      <c r="BB11" s="469">
        <f t="shared" si="31"/>
        <v>4.3443382352941162</v>
      </c>
      <c r="BC11" s="5"/>
      <c r="BD11" s="177">
        <f t="shared" si="57"/>
        <v>4.2848570571257107E-2</v>
      </c>
      <c r="BE11" s="177">
        <f t="shared" si="32"/>
        <v>0.13425706685310831</v>
      </c>
      <c r="BF11" s="177">
        <f t="shared" si="33"/>
        <v>6.7128533426554157E-2</v>
      </c>
      <c r="BG11" s="177"/>
      <c r="BH11" s="538">
        <f t="shared" si="34"/>
        <v>6.4260000000000022E-4</v>
      </c>
      <c r="BI11" s="538">
        <f t="shared" si="35"/>
        <v>1.6837017600000011E-2</v>
      </c>
      <c r="BJ11" s="538">
        <f t="shared" si="36"/>
        <v>2.7200000000000011E-3</v>
      </c>
      <c r="BK11" s="538">
        <f t="shared" si="37"/>
        <v>2.8950690529280017E-2</v>
      </c>
      <c r="BL11">
        <f t="shared" si="38"/>
        <v>9.2800000000000001E-3</v>
      </c>
      <c r="BM11">
        <f t="shared" si="39"/>
        <v>1.4688000000000006E-5</v>
      </c>
      <c r="BN11">
        <f t="shared" si="40"/>
        <v>5.8538687458503498E-2</v>
      </c>
      <c r="BO11" s="469">
        <f t="shared" si="58"/>
        <v>58.538687458503496</v>
      </c>
      <c r="BP11" s="177">
        <f t="shared" si="41"/>
        <v>1.1469534720000001E-2</v>
      </c>
      <c r="BQ11" s="177">
        <f t="shared" si="42"/>
        <v>4.0133836799999996E-3</v>
      </c>
      <c r="BR11" s="538"/>
      <c r="BT11" s="469">
        <f t="shared" si="59"/>
        <v>15.482918400000001</v>
      </c>
      <c r="BU11" s="538">
        <f t="shared" si="43"/>
        <v>1.8360000000000007E-4</v>
      </c>
      <c r="BV11" s="538">
        <f t="shared" si="60"/>
        <v>5.4074879999999991E-4</v>
      </c>
      <c r="BW11" s="538">
        <f t="shared" si="44"/>
        <v>2.2531199999999997E-4</v>
      </c>
      <c r="BX11" s="538">
        <f t="shared" si="45"/>
        <v>0</v>
      </c>
      <c r="BY11" s="538">
        <f t="shared" si="46"/>
        <v>1.0637009084044507E-3</v>
      </c>
      <c r="BZ11" s="538">
        <f t="shared" si="61"/>
        <v>9.496607999999999E-4</v>
      </c>
      <c r="CA11" s="641">
        <f t="shared" si="47"/>
        <v>9.792000000000006E-4</v>
      </c>
      <c r="CB11" s="469">
        <f t="shared" si="62"/>
        <v>2.0429009084044512</v>
      </c>
      <c r="CC11" s="177">
        <f t="shared" si="63"/>
        <v>7.6064506766907944E-2</v>
      </c>
      <c r="CD11" s="5">
        <f t="shared" si="64"/>
        <v>0.28800000000000003</v>
      </c>
      <c r="CE11" s="177">
        <f t="shared" si="65"/>
        <v>0.79106860088503983</v>
      </c>
      <c r="CF11" s="5">
        <f t="shared" si="66"/>
        <v>79.106860088503979</v>
      </c>
      <c r="CG11">
        <f t="shared" si="67"/>
        <v>6</v>
      </c>
      <c r="CI11" s="571">
        <f t="shared" si="48"/>
        <v>-50</v>
      </c>
      <c r="CJ11">
        <f t="shared" si="49"/>
        <v>-50</v>
      </c>
    </row>
    <row r="12" spans="2:88" x14ac:dyDescent="0.25">
      <c r="E12" s="174">
        <v>7</v>
      </c>
      <c r="F12" s="221">
        <f t="shared" si="68"/>
        <v>1.4000000000000002E-2</v>
      </c>
      <c r="G12" s="221">
        <f t="shared" si="50"/>
        <v>7.000000000000001E-3</v>
      </c>
      <c r="H12" s="221">
        <f t="shared" si="0"/>
        <v>0.22400000000000003</v>
      </c>
      <c r="I12" s="221">
        <f t="shared" si="69"/>
        <v>0.11200000000000002</v>
      </c>
      <c r="J12" s="551">
        <f t="shared" si="1"/>
        <v>32</v>
      </c>
      <c r="K12" s="451">
        <f t="shared" si="2"/>
        <v>19.584</v>
      </c>
      <c r="L12" s="451">
        <f t="shared" si="3"/>
        <v>51.584000000000003</v>
      </c>
      <c r="M12" s="451"/>
      <c r="N12" s="221">
        <f t="shared" si="4"/>
        <v>0.37965260545905705</v>
      </c>
      <c r="O12" s="176">
        <f t="shared" si="51"/>
        <v>5.4669975186104214</v>
      </c>
      <c r="P12" s="176">
        <f t="shared" si="5"/>
        <v>2.7334987593052107</v>
      </c>
      <c r="Q12" s="221">
        <f t="shared" si="6"/>
        <v>0.34168734491315134</v>
      </c>
      <c r="R12" s="221">
        <f t="shared" si="7"/>
        <v>0.34168734491315134</v>
      </c>
      <c r="S12" s="451">
        <f t="shared" si="8"/>
        <v>16</v>
      </c>
      <c r="T12" s="221">
        <f t="shared" si="9"/>
        <v>6.1459694989106771E-2</v>
      </c>
      <c r="U12" s="221">
        <f t="shared" si="10"/>
        <v>5.7618464052287599E-2</v>
      </c>
      <c r="V12" s="221">
        <f t="shared" si="11"/>
        <v>9.4147817078901311E-2</v>
      </c>
      <c r="W12" s="201">
        <f t="shared" si="12"/>
        <v>350</v>
      </c>
      <c r="X12" s="451">
        <f t="shared" si="52"/>
        <v>350</v>
      </c>
      <c r="Z12" s="221">
        <f t="shared" si="13"/>
        <v>1.1570365118752215</v>
      </c>
      <c r="AA12" s="177">
        <f t="shared" si="14"/>
        <v>1.7724211272598367</v>
      </c>
      <c r="AB12" s="177">
        <f t="shared" si="15"/>
        <v>0.2871058342122137</v>
      </c>
      <c r="AC12" s="177"/>
      <c r="AD12" s="177">
        <f t="shared" si="16"/>
        <v>0.4595588235294118</v>
      </c>
      <c r="AE12" s="555">
        <f t="shared" si="17"/>
        <v>253.86666666666676</v>
      </c>
      <c r="AF12" s="538">
        <f t="shared" si="18"/>
        <v>1.9301470588235291E-2</v>
      </c>
      <c r="AH12" s="177">
        <f t="shared" si="19"/>
        <v>0.25298221281347039</v>
      </c>
      <c r="AI12" s="177">
        <f t="shared" si="20"/>
        <v>0.3</v>
      </c>
      <c r="AJ12" s="177">
        <f t="shared" si="21"/>
        <v>1.1450666666666667</v>
      </c>
      <c r="AL12" s="555">
        <f t="shared" si="22"/>
        <v>14.000000000000002</v>
      </c>
      <c r="AM12" s="469">
        <f t="shared" si="23"/>
        <v>253.86666666666676</v>
      </c>
      <c r="AO12">
        <f t="shared" si="53"/>
        <v>14.000000000000002</v>
      </c>
      <c r="AP12" s="469">
        <f t="shared" si="24"/>
        <v>253.86666666666676</v>
      </c>
      <c r="AQ12" s="469"/>
      <c r="AR12" s="5">
        <f t="shared" si="54"/>
        <v>3.9390756302520988</v>
      </c>
      <c r="AS12" s="5">
        <f t="shared" si="25"/>
        <v>0.28125</v>
      </c>
      <c r="AT12" s="5">
        <f t="shared" si="55"/>
        <v>3.6578256302520988</v>
      </c>
      <c r="AU12" s="177">
        <f t="shared" si="56"/>
        <v>7.1400000000000033E-2</v>
      </c>
      <c r="AW12" s="5">
        <f t="shared" si="26"/>
        <v>0.80504166666666677</v>
      </c>
      <c r="AX12" s="5">
        <f t="shared" si="27"/>
        <v>4.8311526666666674E-2</v>
      </c>
      <c r="AY12" s="5">
        <f t="shared" si="28"/>
        <v>0.20126041666666669</v>
      </c>
      <c r="AZ12" s="5">
        <f t="shared" si="29"/>
        <v>2.1172189393939396E-2</v>
      </c>
      <c r="BA12" s="5">
        <f t="shared" si="30"/>
        <v>2.6671645220588222E-2</v>
      </c>
      <c r="BB12" s="469">
        <f t="shared" si="31"/>
        <v>4.3024632352941161</v>
      </c>
      <c r="BC12" s="5"/>
      <c r="BD12" s="177">
        <f t="shared" si="57"/>
        <v>4.6281745861624549E-2</v>
      </c>
      <c r="BE12" s="177">
        <f t="shared" si="32"/>
        <v>0.13352572785796749</v>
      </c>
      <c r="BF12" s="177">
        <f t="shared" si="33"/>
        <v>6.6762863928983743E-2</v>
      </c>
      <c r="BG12" s="177"/>
      <c r="BH12" s="538">
        <f t="shared" si="34"/>
        <v>7.4970000000000039E-4</v>
      </c>
      <c r="BI12" s="538">
        <f t="shared" si="35"/>
        <v>1.9643187200000009E-2</v>
      </c>
      <c r="BJ12" s="538">
        <f t="shared" si="36"/>
        <v>3.1733333333333344E-3</v>
      </c>
      <c r="BK12" s="538">
        <f t="shared" si="37"/>
        <v>3.3775805617493354E-2</v>
      </c>
      <c r="BL12">
        <f t="shared" si="38"/>
        <v>9.2800000000000001E-3</v>
      </c>
      <c r="BM12">
        <f t="shared" si="39"/>
        <v>1.7136000000000007E-5</v>
      </c>
      <c r="BN12">
        <f t="shared" si="40"/>
        <v>6.6749604432749465E-2</v>
      </c>
      <c r="BO12" s="469">
        <f t="shared" si="58"/>
        <v>66.749604432749464</v>
      </c>
      <c r="BP12" s="177">
        <f t="shared" si="41"/>
        <v>1.215872384E-2</v>
      </c>
      <c r="BQ12" s="177">
        <f t="shared" si="42"/>
        <v>4.3766809599999996E-3</v>
      </c>
      <c r="BR12" s="538"/>
      <c r="BT12" s="469">
        <f t="shared" si="59"/>
        <v>16.535404800000002</v>
      </c>
      <c r="BU12" s="538">
        <f t="shared" si="43"/>
        <v>2.1420000000000011E-4</v>
      </c>
      <c r="BV12" s="538">
        <f t="shared" si="60"/>
        <v>5.3487359999999983E-4</v>
      </c>
      <c r="BW12" s="538">
        <f t="shared" si="44"/>
        <v>2.2286399999999992E-4</v>
      </c>
      <c r="BX12" s="538">
        <f t="shared" si="45"/>
        <v>0</v>
      </c>
      <c r="BY12" s="538">
        <f t="shared" si="46"/>
        <v>1.0886547603596009E-3</v>
      </c>
      <c r="BZ12" s="538">
        <f t="shared" si="61"/>
        <v>9.7193759999999985E-4</v>
      </c>
      <c r="CA12" s="641">
        <f t="shared" si="47"/>
        <v>1.1424000000000004E-3</v>
      </c>
      <c r="CB12" s="469">
        <f t="shared" si="62"/>
        <v>2.2310547603596014</v>
      </c>
      <c r="CC12" s="177">
        <f t="shared" si="63"/>
        <v>8.551606399310907E-2</v>
      </c>
      <c r="CD12" s="5">
        <f t="shared" si="64"/>
        <v>0.33600000000000008</v>
      </c>
      <c r="CE12" s="177">
        <f t="shared" si="65"/>
        <v>0.79712264537916389</v>
      </c>
      <c r="CF12" s="5">
        <f t="shared" si="66"/>
        <v>79.712264537916383</v>
      </c>
      <c r="CG12">
        <f t="shared" si="67"/>
        <v>7.0000000000000009</v>
      </c>
      <c r="CI12" s="571">
        <f t="shared" si="48"/>
        <v>-50</v>
      </c>
      <c r="CJ12">
        <f t="shared" si="49"/>
        <v>-50</v>
      </c>
    </row>
    <row r="13" spans="2:88" s="77" customFormat="1" x14ac:dyDescent="0.25">
      <c r="E13" s="193">
        <v>8</v>
      </c>
      <c r="F13" s="221">
        <f t="shared" si="68"/>
        <v>1.6E-2</v>
      </c>
      <c r="G13" s="221">
        <f t="shared" si="50"/>
        <v>8.0000000000000002E-3</v>
      </c>
      <c r="H13" s="221">
        <f t="shared" si="0"/>
        <v>0.25600000000000001</v>
      </c>
      <c r="I13" s="221">
        <f t="shared" si="69"/>
        <v>0.128</v>
      </c>
      <c r="J13" s="551">
        <f t="shared" si="1"/>
        <v>32</v>
      </c>
      <c r="K13" s="451">
        <f t="shared" si="2"/>
        <v>19.584</v>
      </c>
      <c r="L13" s="545">
        <f t="shared" si="3"/>
        <v>51.584000000000003</v>
      </c>
      <c r="M13" s="545"/>
      <c r="N13" s="333">
        <f t="shared" si="4"/>
        <v>0.37965260545905705</v>
      </c>
      <c r="O13" s="176">
        <f t="shared" si="51"/>
        <v>5.4669975186104214</v>
      </c>
      <c r="P13" s="176">
        <f t="shared" si="5"/>
        <v>2.7334987593052107</v>
      </c>
      <c r="Q13" s="333">
        <f t="shared" si="6"/>
        <v>0.34168734491315134</v>
      </c>
      <c r="R13" s="221">
        <f t="shared" si="7"/>
        <v>0.34168734491315134</v>
      </c>
      <c r="S13" s="451">
        <f t="shared" si="8"/>
        <v>16</v>
      </c>
      <c r="T13" s="221">
        <f t="shared" si="9"/>
        <v>7.0239651416122012E-2</v>
      </c>
      <c r="U13" s="333">
        <f t="shared" si="10"/>
        <v>6.5849673202614381E-2</v>
      </c>
      <c r="V13" s="221">
        <f t="shared" si="11"/>
        <v>0.10759750523303004</v>
      </c>
      <c r="W13" s="547">
        <f t="shared" si="12"/>
        <v>350</v>
      </c>
      <c r="X13" s="545">
        <f t="shared" si="52"/>
        <v>350</v>
      </c>
      <c r="Z13" s="333">
        <f t="shared" si="13"/>
        <v>1.1570365118752215</v>
      </c>
      <c r="AA13" s="177">
        <f t="shared" si="14"/>
        <v>1.7724211272598367</v>
      </c>
      <c r="AB13" s="177">
        <f t="shared" si="15"/>
        <v>0.2871058342122137</v>
      </c>
      <c r="AC13" s="548"/>
      <c r="AD13" s="177">
        <f t="shared" si="16"/>
        <v>0.4595588235294118</v>
      </c>
      <c r="AE13" s="555">
        <f t="shared" si="17"/>
        <v>290.13333333333338</v>
      </c>
      <c r="AF13" s="538">
        <f t="shared" si="18"/>
        <v>1.9301470588235291E-2</v>
      </c>
      <c r="AG13"/>
      <c r="AH13" s="177">
        <f t="shared" si="19"/>
        <v>0.27044936151312532</v>
      </c>
      <c r="AI13" s="177">
        <f t="shared" si="20"/>
        <v>0.3</v>
      </c>
      <c r="AJ13" s="177">
        <f t="shared" si="21"/>
        <v>1.1657904761904763</v>
      </c>
      <c r="AL13" s="555">
        <f t="shared" si="22"/>
        <v>16</v>
      </c>
      <c r="AM13" s="469">
        <f t="shared" si="23"/>
        <v>290.13333333333338</v>
      </c>
      <c r="AO13">
        <f t="shared" si="53"/>
        <v>16</v>
      </c>
      <c r="AP13" s="469">
        <f t="shared" si="24"/>
        <v>290.13333333333338</v>
      </c>
      <c r="AQ13" s="469"/>
      <c r="AR13" s="5">
        <f t="shared" si="54"/>
        <v>3.4466911764705879</v>
      </c>
      <c r="AS13" s="5">
        <f t="shared" si="25"/>
        <v>0.28125</v>
      </c>
      <c r="AT13" s="5">
        <f t="shared" si="55"/>
        <v>3.1654411764705879</v>
      </c>
      <c r="AU13" s="177">
        <f t="shared" si="56"/>
        <v>8.1600000000000006E-2</v>
      </c>
      <c r="AW13" s="5">
        <f t="shared" si="26"/>
        <v>0.80504166666666677</v>
      </c>
      <c r="AX13" s="5">
        <f t="shared" si="27"/>
        <v>5.6243626666666664E-2</v>
      </c>
      <c r="AY13" s="5">
        <f t="shared" si="28"/>
        <v>0.20126041666666669</v>
      </c>
      <c r="AZ13" s="5">
        <f t="shared" si="29"/>
        <v>2.5367757575757571E-2</v>
      </c>
      <c r="BA13" s="5">
        <f t="shared" si="30"/>
        <v>2.6378676470588228E-2</v>
      </c>
      <c r="BB13" s="469">
        <f t="shared" si="31"/>
        <v>4.2605882352941169</v>
      </c>
      <c r="BC13" s="5"/>
      <c r="BD13" s="177">
        <f t="shared" si="57"/>
        <v>4.947726750741193E-2</v>
      </c>
      <c r="BE13" s="177">
        <f t="shared" si="32"/>
        <v>0.13279036109597714</v>
      </c>
      <c r="BF13" s="177">
        <f t="shared" si="33"/>
        <v>6.6395180547988569E-2</v>
      </c>
      <c r="BG13" s="177"/>
      <c r="BH13" s="538">
        <f t="shared" si="34"/>
        <v>8.5680000000000012E-4</v>
      </c>
      <c r="BI13" s="538">
        <f t="shared" si="35"/>
        <v>2.2449356800000007E-2</v>
      </c>
      <c r="BJ13" s="538">
        <f t="shared" si="36"/>
        <v>3.6266666666666669E-3</v>
      </c>
      <c r="BK13" s="538">
        <f t="shared" si="37"/>
        <v>3.8600920705706677E-2</v>
      </c>
      <c r="BL13">
        <f t="shared" si="38"/>
        <v>9.2800000000000001E-3</v>
      </c>
      <c r="BM13">
        <f t="shared" si="39"/>
        <v>1.9584000000000004E-5</v>
      </c>
      <c r="BN13">
        <f t="shared" si="40"/>
        <v>7.4960845952917257E-2</v>
      </c>
      <c r="BO13" s="469">
        <f t="shared" si="58"/>
        <v>74.960845952917253</v>
      </c>
      <c r="BP13" s="177">
        <f t="shared" si="41"/>
        <v>1.2847912960000001E-2</v>
      </c>
      <c r="BQ13" s="177">
        <f t="shared" si="42"/>
        <v>4.7399782400000005E-3</v>
      </c>
      <c r="BR13" s="538"/>
      <c r="BT13" s="469">
        <f t="shared" si="59"/>
        <v>17.587891200000001</v>
      </c>
      <c r="BU13" s="538">
        <f t="shared" si="43"/>
        <v>2.4480000000000004E-4</v>
      </c>
      <c r="BV13" s="538">
        <f t="shared" si="60"/>
        <v>5.2899839999999995E-4</v>
      </c>
      <c r="BW13" s="538">
        <f t="shared" si="44"/>
        <v>2.2041599999999997E-4</v>
      </c>
      <c r="BX13" s="538">
        <f t="shared" si="45"/>
        <v>0</v>
      </c>
      <c r="BY13" s="538">
        <f t="shared" si="46"/>
        <v>1.1136087012645409E-3</v>
      </c>
      <c r="BZ13" s="538">
        <f t="shared" si="61"/>
        <v>9.9421439999999991E-4</v>
      </c>
      <c r="CA13" s="641">
        <f t="shared" si="47"/>
        <v>1.3056000000000005E-3</v>
      </c>
      <c r="CB13" s="469">
        <f t="shared" si="62"/>
        <v>2.4192087012645414</v>
      </c>
      <c r="CC13" s="177">
        <f t="shared" si="63"/>
        <v>9.4967945854181793E-2</v>
      </c>
      <c r="CD13" s="5">
        <f t="shared" si="64"/>
        <v>0.38400000000000001</v>
      </c>
      <c r="CE13" s="177">
        <f t="shared" si="65"/>
        <v>0.80172379660017157</v>
      </c>
      <c r="CF13" s="5">
        <f t="shared" si="66"/>
        <v>80.172379660017157</v>
      </c>
      <c r="CG13">
        <f t="shared" si="67"/>
        <v>8</v>
      </c>
      <c r="CI13" s="571">
        <f t="shared" si="48"/>
        <v>-50</v>
      </c>
      <c r="CJ13">
        <f t="shared" si="49"/>
        <v>-50</v>
      </c>
    </row>
    <row r="14" spans="2:88" x14ac:dyDescent="0.25">
      <c r="E14" s="174">
        <v>9</v>
      </c>
      <c r="F14" s="221">
        <f t="shared" si="68"/>
        <v>1.7999999999999999E-2</v>
      </c>
      <c r="G14" s="221">
        <f t="shared" si="50"/>
        <v>8.9999999999999993E-3</v>
      </c>
      <c r="H14" s="221">
        <f t="shared" si="0"/>
        <v>0.28799999999999998</v>
      </c>
      <c r="I14" s="221">
        <f t="shared" si="69"/>
        <v>0.14399999999999999</v>
      </c>
      <c r="J14" s="551">
        <f t="shared" si="1"/>
        <v>32</v>
      </c>
      <c r="K14" s="451">
        <f t="shared" si="2"/>
        <v>19.584</v>
      </c>
      <c r="L14" s="451">
        <f t="shared" si="3"/>
        <v>51.584000000000003</v>
      </c>
      <c r="M14" s="451"/>
      <c r="N14" s="221">
        <f t="shared" si="4"/>
        <v>0.37965260545905705</v>
      </c>
      <c r="O14" s="176">
        <f t="shared" si="51"/>
        <v>5.4669975186104214</v>
      </c>
      <c r="P14" s="176">
        <f t="shared" si="5"/>
        <v>2.7334987593052107</v>
      </c>
      <c r="Q14" s="221">
        <f t="shared" si="6"/>
        <v>0.34168734491315134</v>
      </c>
      <c r="R14" s="221">
        <f t="shared" si="7"/>
        <v>0.34168734491315134</v>
      </c>
      <c r="S14" s="451">
        <f t="shared" si="8"/>
        <v>16</v>
      </c>
      <c r="T14" s="221">
        <f t="shared" si="9"/>
        <v>7.9019607843137246E-2</v>
      </c>
      <c r="U14" s="221">
        <f t="shared" si="10"/>
        <v>7.4080882352941163E-2</v>
      </c>
      <c r="V14" s="221">
        <f t="shared" si="11"/>
        <v>0.12104719338715877</v>
      </c>
      <c r="W14" s="201">
        <f t="shared" si="12"/>
        <v>350</v>
      </c>
      <c r="X14" s="451">
        <f t="shared" si="52"/>
        <v>350</v>
      </c>
      <c r="Z14" s="221">
        <f t="shared" si="13"/>
        <v>1.1570365118752215</v>
      </c>
      <c r="AA14" s="177">
        <f t="shared" si="14"/>
        <v>1.7724211272598367</v>
      </c>
      <c r="AB14" s="177">
        <f t="shared" si="15"/>
        <v>0.2871058342122137</v>
      </c>
      <c r="AC14" s="177"/>
      <c r="AD14" s="177">
        <f t="shared" si="16"/>
        <v>0.4595588235294118</v>
      </c>
      <c r="AE14" s="555">
        <f t="shared" si="17"/>
        <v>326.39999999999998</v>
      </c>
      <c r="AF14" s="538">
        <f t="shared" si="18"/>
        <v>1.9301470588235291E-2</v>
      </c>
      <c r="AH14" s="177">
        <f t="shared" si="19"/>
        <v>0.28685486624025447</v>
      </c>
      <c r="AI14" s="177">
        <f t="shared" si="20"/>
        <v>0.3</v>
      </c>
      <c r="AJ14" s="177">
        <f t="shared" si="21"/>
        <v>1.1865142857142856</v>
      </c>
      <c r="AL14" s="555">
        <f t="shared" si="22"/>
        <v>18</v>
      </c>
      <c r="AM14" s="469">
        <f t="shared" si="23"/>
        <v>326.39999999999998</v>
      </c>
      <c r="AO14">
        <f t="shared" si="53"/>
        <v>18</v>
      </c>
      <c r="AP14" s="469">
        <f t="shared" si="24"/>
        <v>326.39999999999998</v>
      </c>
      <c r="AQ14" s="469"/>
      <c r="AR14" s="5">
        <f t="shared" si="54"/>
        <v>3.0637254901960786</v>
      </c>
      <c r="AS14" s="5">
        <f t="shared" si="25"/>
        <v>0.28125</v>
      </c>
      <c r="AT14" s="5">
        <f t="shared" si="55"/>
        <v>2.7824754901960786</v>
      </c>
      <c r="AU14" s="177">
        <f t="shared" si="56"/>
        <v>9.1799999999999993E-2</v>
      </c>
      <c r="AW14" s="5">
        <f t="shared" si="26"/>
        <v>0.80504166666666677</v>
      </c>
      <c r="AX14" s="5">
        <f t="shared" si="27"/>
        <v>6.4433339999999992E-2</v>
      </c>
      <c r="AY14" s="5">
        <f t="shared" si="28"/>
        <v>0.20126041666666669</v>
      </c>
      <c r="AZ14" s="5">
        <f t="shared" si="29"/>
        <v>2.9856068181818178E-2</v>
      </c>
      <c r="BA14" s="5">
        <f t="shared" si="30"/>
        <v>2.6085707720588231E-2</v>
      </c>
      <c r="BB14" s="469">
        <f t="shared" si="31"/>
        <v>4.2187132352941177</v>
      </c>
      <c r="BC14" s="5"/>
      <c r="BD14" s="177">
        <f t="shared" si="57"/>
        <v>5.2478567053607705E-2</v>
      </c>
      <c r="BE14" s="177">
        <f t="shared" si="32"/>
        <v>0.13205089927751343</v>
      </c>
      <c r="BF14" s="177">
        <f t="shared" si="33"/>
        <v>6.6025449638756714E-2</v>
      </c>
      <c r="BG14" s="177"/>
      <c r="BH14" s="538">
        <f t="shared" si="34"/>
        <v>9.6389999999999996E-4</v>
      </c>
      <c r="BI14" s="538">
        <f t="shared" si="35"/>
        <v>2.5255526399999999E-2</v>
      </c>
      <c r="BJ14" s="538">
        <f t="shared" si="36"/>
        <v>4.0800000000000003E-3</v>
      </c>
      <c r="BK14" s="538">
        <f t="shared" si="37"/>
        <v>4.3426035793920008E-2</v>
      </c>
      <c r="BL14">
        <f t="shared" si="38"/>
        <v>9.2800000000000001E-3</v>
      </c>
      <c r="BM14">
        <f t="shared" si="39"/>
        <v>2.2031999999999998E-5</v>
      </c>
      <c r="BN14">
        <f t="shared" si="40"/>
        <v>8.3172412038249294E-2</v>
      </c>
      <c r="BO14" s="469">
        <f t="shared" si="58"/>
        <v>83.172412038249291</v>
      </c>
      <c r="BP14" s="177">
        <f t="shared" si="41"/>
        <v>1.3537102079999998E-2</v>
      </c>
      <c r="BQ14" s="177">
        <f t="shared" si="42"/>
        <v>5.1032755199999988E-3</v>
      </c>
      <c r="BR14" s="538"/>
      <c r="BT14" s="469">
        <f t="shared" si="59"/>
        <v>18.640377599999997</v>
      </c>
      <c r="BU14" s="538">
        <f t="shared" si="43"/>
        <v>2.7540000000000003E-4</v>
      </c>
      <c r="BV14" s="538">
        <f t="shared" si="60"/>
        <v>5.2312319999999986E-4</v>
      </c>
      <c r="BW14" s="538">
        <f t="shared" si="44"/>
        <v>2.1796799999999994E-4</v>
      </c>
      <c r="BX14" s="538">
        <f t="shared" si="45"/>
        <v>0</v>
      </c>
      <c r="BY14" s="538">
        <f t="shared" si="46"/>
        <v>1.1385627311197464E-3</v>
      </c>
      <c r="BZ14" s="538">
        <f t="shared" si="61"/>
        <v>1.0164911999999999E-3</v>
      </c>
      <c r="CA14" s="641">
        <f t="shared" si="47"/>
        <v>1.4687999999999999E-3</v>
      </c>
      <c r="CB14" s="469">
        <f t="shared" si="62"/>
        <v>2.6073627311197467</v>
      </c>
      <c r="CC14" s="177">
        <f t="shared" si="63"/>
        <v>0.10442015236936905</v>
      </c>
      <c r="CD14" s="5">
        <f t="shared" si="64"/>
        <v>0.43199999999999994</v>
      </c>
      <c r="CE14" s="177">
        <f t="shared" si="65"/>
        <v>0.80533887120357983</v>
      </c>
      <c r="CF14" s="5">
        <f t="shared" si="66"/>
        <v>80.533887120357988</v>
      </c>
      <c r="CG14">
        <f t="shared" si="67"/>
        <v>8.9999999999999982</v>
      </c>
      <c r="CI14" s="571">
        <f t="shared" si="48"/>
        <v>-50</v>
      </c>
      <c r="CJ14">
        <f t="shared" si="49"/>
        <v>-50</v>
      </c>
    </row>
    <row r="15" spans="2:88" x14ac:dyDescent="0.25">
      <c r="E15" s="174">
        <v>10</v>
      </c>
      <c r="F15" s="221">
        <f t="shared" si="68"/>
        <v>2.0000000000000004E-2</v>
      </c>
      <c r="G15" s="221">
        <f t="shared" si="50"/>
        <v>1.0000000000000002E-2</v>
      </c>
      <c r="H15" s="221">
        <f t="shared" si="0"/>
        <v>0.32000000000000006</v>
      </c>
      <c r="I15" s="221">
        <f t="shared" si="69"/>
        <v>0.16000000000000003</v>
      </c>
      <c r="J15" s="551">
        <f t="shared" si="1"/>
        <v>32</v>
      </c>
      <c r="K15" s="451">
        <f t="shared" si="2"/>
        <v>19.584</v>
      </c>
      <c r="L15" s="451">
        <f t="shared" si="3"/>
        <v>51.584000000000003</v>
      </c>
      <c r="M15" s="451"/>
      <c r="N15" s="221">
        <f t="shared" si="4"/>
        <v>0.37965260545905705</v>
      </c>
      <c r="O15" s="176">
        <f t="shared" si="51"/>
        <v>5.4669975186104214</v>
      </c>
      <c r="P15" s="176">
        <f t="shared" si="5"/>
        <v>2.7334987593052107</v>
      </c>
      <c r="Q15" s="221">
        <f t="shared" si="6"/>
        <v>0.34168734491315134</v>
      </c>
      <c r="R15" s="221">
        <f t="shared" si="7"/>
        <v>0.34168734491315134</v>
      </c>
      <c r="S15" s="451">
        <f t="shared" si="8"/>
        <v>16</v>
      </c>
      <c r="T15" s="221">
        <f t="shared" si="9"/>
        <v>8.7799564270152536E-2</v>
      </c>
      <c r="U15" s="221">
        <f t="shared" si="10"/>
        <v>8.2312091503268001E-2</v>
      </c>
      <c r="V15" s="221">
        <f t="shared" si="11"/>
        <v>0.13449688154128761</v>
      </c>
      <c r="W15" s="201">
        <f t="shared" si="12"/>
        <v>350</v>
      </c>
      <c r="X15" s="451">
        <f t="shared" si="52"/>
        <v>350</v>
      </c>
      <c r="Z15" s="221">
        <f t="shared" si="13"/>
        <v>1.1570365118752215</v>
      </c>
      <c r="AA15" s="177">
        <f t="shared" si="14"/>
        <v>1.7724211272598367</v>
      </c>
      <c r="AB15" s="177">
        <f t="shared" si="15"/>
        <v>0.2871058342122137</v>
      </c>
      <c r="AC15" s="177"/>
      <c r="AD15" s="177">
        <f t="shared" si="16"/>
        <v>0.4595588235294118</v>
      </c>
      <c r="AE15" s="555">
        <f t="shared" si="17"/>
        <v>362.6666666666668</v>
      </c>
      <c r="AF15" s="538">
        <f t="shared" si="18"/>
        <v>1.9301470588235291E-2</v>
      </c>
      <c r="AH15" s="177">
        <f t="shared" si="19"/>
        <v>0.30237157840738182</v>
      </c>
      <c r="AI15" s="177">
        <f t="shared" si="20"/>
        <v>0.30237157840738182</v>
      </c>
      <c r="AJ15" s="177">
        <f t="shared" si="21"/>
        <v>1.2017567247462086</v>
      </c>
      <c r="AL15" s="555">
        <f t="shared" si="22"/>
        <v>20.000000000000004</v>
      </c>
      <c r="AM15" s="469">
        <f t="shared" si="23"/>
        <v>350</v>
      </c>
      <c r="AO15">
        <f t="shared" si="53"/>
        <v>20.000000000000004</v>
      </c>
      <c r="AP15" s="469">
        <f t="shared" si="24"/>
        <v>350</v>
      </c>
      <c r="AQ15" s="469"/>
      <c r="AR15" s="5">
        <f t="shared" si="54"/>
        <v>2.8571428571428572</v>
      </c>
      <c r="AS15" s="5">
        <f t="shared" si="25"/>
        <v>0.28347335475692048</v>
      </c>
      <c r="AT15" s="5">
        <f t="shared" si="55"/>
        <v>2.5736695023859366</v>
      </c>
      <c r="AU15" s="177">
        <f t="shared" si="56"/>
        <v>9.9215674164922163E-2</v>
      </c>
      <c r="AW15" s="5">
        <f t="shared" si="26"/>
        <v>0.80504166666666677</v>
      </c>
      <c r="AX15" s="5">
        <f t="shared" si="27"/>
        <v>7.2880666666666677E-2</v>
      </c>
      <c r="AY15" s="5">
        <f t="shared" si="28"/>
        <v>0.20126041666666669</v>
      </c>
      <c r="AZ15" s="5">
        <f t="shared" si="29"/>
        <v>3.4637121212121216E-2</v>
      </c>
      <c r="BA15" s="5">
        <f t="shared" si="30"/>
        <v>2.6809057316520179E-2</v>
      </c>
      <c r="BB15" s="469">
        <f t="shared" si="31"/>
        <v>4.3394491706432285</v>
      </c>
      <c r="BC15" s="5"/>
      <c r="BD15" s="177">
        <f t="shared" si="57"/>
        <v>5.498832407042261E-2</v>
      </c>
      <c r="BE15" s="177">
        <f t="shared" si="32"/>
        <v>0.13255030668751644</v>
      </c>
      <c r="BF15" s="177">
        <f t="shared" si="33"/>
        <v>6.627515334375822E-2</v>
      </c>
      <c r="BG15" s="177"/>
      <c r="BH15" s="538">
        <f t="shared" si="34"/>
        <v>1.0583005244258364E-3</v>
      </c>
      <c r="BI15" s="538">
        <f t="shared" si="35"/>
        <v>2.7295687125991178E-2</v>
      </c>
      <c r="BJ15" s="538">
        <f t="shared" si="36"/>
        <v>4.3749999999999995E-3</v>
      </c>
      <c r="BK15" s="538">
        <f t="shared" si="37"/>
        <v>4.6565908480000008E-2</v>
      </c>
      <c r="BL15">
        <f t="shared" si="38"/>
        <v>9.2800000000000001E-3</v>
      </c>
      <c r="BM15">
        <f t="shared" si="39"/>
        <v>2.3625000000000002E-5</v>
      </c>
      <c r="BN15">
        <f t="shared" si="40"/>
        <v>8.8758722413971716E-2</v>
      </c>
      <c r="BO15" s="469">
        <f t="shared" si="58"/>
        <v>88.758722413971711</v>
      </c>
      <c r="BP15" s="177">
        <f t="shared" si="41"/>
        <v>1.4351581012728685E-2</v>
      </c>
      <c r="BQ15" s="177">
        <f t="shared" si="42"/>
        <v>5.4978952531821723E-3</v>
      </c>
      <c r="BR15" s="538"/>
      <c r="BT15" s="469">
        <f t="shared" si="59"/>
        <v>19.849476265910859</v>
      </c>
      <c r="BU15" s="538">
        <f t="shared" si="43"/>
        <v>3.023715784073819E-4</v>
      </c>
      <c r="BV15" s="538">
        <f t="shared" si="60"/>
        <v>5.2708751408863991E-4</v>
      </c>
      <c r="BW15" s="538">
        <f t="shared" si="44"/>
        <v>2.196197975369333E-4</v>
      </c>
      <c r="BX15" s="538">
        <f t="shared" si="45"/>
        <v>0</v>
      </c>
      <c r="BY15" s="538">
        <f t="shared" si="46"/>
        <v>1.1750669758736111E-3</v>
      </c>
      <c r="BZ15" s="538">
        <f t="shared" si="61"/>
        <v>1.0490788900329551E-3</v>
      </c>
      <c r="CA15" s="641">
        <f t="shared" si="47"/>
        <v>1.6000000000000005E-3</v>
      </c>
      <c r="CB15" s="469">
        <f t="shared" si="62"/>
        <v>2.7750669758736115</v>
      </c>
      <c r="CC15" s="177">
        <f t="shared" si="63"/>
        <v>0.11138326565575618</v>
      </c>
      <c r="CD15" s="5">
        <f t="shared" si="64"/>
        <v>0.48000000000000009</v>
      </c>
      <c r="CE15" s="177">
        <f t="shared" si="65"/>
        <v>0.81165637899434195</v>
      </c>
      <c r="CF15" s="5">
        <f t="shared" si="66"/>
        <v>81.165637899434202</v>
      </c>
      <c r="CG15">
        <f t="shared" si="67"/>
        <v>10.000000000000002</v>
      </c>
      <c r="CI15" s="571">
        <f t="shared" si="48"/>
        <v>-50</v>
      </c>
      <c r="CJ15">
        <f t="shared" si="49"/>
        <v>-50</v>
      </c>
    </row>
    <row r="16" spans="2:88" x14ac:dyDescent="0.25">
      <c r="E16" s="174">
        <v>11</v>
      </c>
      <c r="F16" s="221">
        <f t="shared" si="68"/>
        <v>2.2000000000000002E-2</v>
      </c>
      <c r="G16" s="221">
        <f t="shared" si="50"/>
        <v>1.1000000000000001E-2</v>
      </c>
      <c r="H16" s="221">
        <f t="shared" si="0"/>
        <v>0.35200000000000004</v>
      </c>
      <c r="I16" s="221">
        <f t="shared" si="69"/>
        <v>0.17600000000000002</v>
      </c>
      <c r="J16" s="551">
        <f t="shared" si="1"/>
        <v>32</v>
      </c>
      <c r="K16" s="451">
        <f t="shared" si="2"/>
        <v>19.584</v>
      </c>
      <c r="L16" s="451">
        <f t="shared" si="3"/>
        <v>51.584000000000003</v>
      </c>
      <c r="M16" s="451"/>
      <c r="N16" s="221">
        <f t="shared" si="4"/>
        <v>0.37965260545905705</v>
      </c>
      <c r="O16" s="176">
        <f t="shared" si="51"/>
        <v>5.4669975186104214</v>
      </c>
      <c r="P16" s="176">
        <f t="shared" si="5"/>
        <v>2.7334987593052107</v>
      </c>
      <c r="Q16" s="221">
        <f t="shared" si="6"/>
        <v>0.34168734491315134</v>
      </c>
      <c r="R16" s="221">
        <f t="shared" si="7"/>
        <v>0.34168734491315134</v>
      </c>
      <c r="S16" s="451">
        <f t="shared" si="8"/>
        <v>16</v>
      </c>
      <c r="T16" s="221">
        <f t="shared" si="9"/>
        <v>9.657952069716777E-2</v>
      </c>
      <c r="U16" s="221">
        <f t="shared" si="10"/>
        <v>9.0543300653594783E-2</v>
      </c>
      <c r="V16" s="221">
        <f t="shared" si="11"/>
        <v>0.14794656969541631</v>
      </c>
      <c r="W16" s="201">
        <f t="shared" si="12"/>
        <v>350</v>
      </c>
      <c r="X16" s="451">
        <f t="shared" si="52"/>
        <v>350</v>
      </c>
      <c r="Z16" s="221">
        <f t="shared" si="13"/>
        <v>1.1570365118752215</v>
      </c>
      <c r="AA16" s="177">
        <f t="shared" si="14"/>
        <v>1.7724211272598367</v>
      </c>
      <c r="AB16" s="177">
        <f t="shared" si="15"/>
        <v>0.2871058342122137</v>
      </c>
      <c r="AC16" s="177"/>
      <c r="AD16" s="177">
        <f t="shared" si="16"/>
        <v>0.4595588235294118</v>
      </c>
      <c r="AE16" s="555">
        <f t="shared" si="17"/>
        <v>398.93333333333351</v>
      </c>
      <c r="AF16" s="538">
        <f t="shared" si="18"/>
        <v>1.9301470588235291E-2</v>
      </c>
      <c r="AH16" s="177">
        <f t="shared" si="19"/>
        <v>0.31712998686883676</v>
      </c>
      <c r="AI16" s="177">
        <f t="shared" si="20"/>
        <v>0.31712998686883676</v>
      </c>
      <c r="AJ16" s="177">
        <f t="shared" si="21"/>
        <v>1.2126888791621013</v>
      </c>
      <c r="AL16" s="555">
        <f t="shared" si="22"/>
        <v>22.000000000000004</v>
      </c>
      <c r="AM16" s="469">
        <f t="shared" si="23"/>
        <v>350</v>
      </c>
      <c r="AO16">
        <f t="shared" si="53"/>
        <v>22.000000000000004</v>
      </c>
      <c r="AP16" s="469">
        <f t="shared" si="24"/>
        <v>350</v>
      </c>
      <c r="AQ16" s="469"/>
      <c r="AR16" s="5">
        <f t="shared" si="54"/>
        <v>2.8571428571428572</v>
      </c>
      <c r="AS16" s="5">
        <f t="shared" si="25"/>
        <v>0.29730936268953445</v>
      </c>
      <c r="AT16" s="5">
        <f t="shared" si="55"/>
        <v>2.559833494453323</v>
      </c>
      <c r="AU16" s="177">
        <f t="shared" si="56"/>
        <v>0.10405827694133706</v>
      </c>
      <c r="AW16" s="5">
        <f t="shared" si="26"/>
        <v>0.80504166666666677</v>
      </c>
      <c r="AX16" s="5">
        <f t="shared" si="27"/>
        <v>8.1585606666666671E-2</v>
      </c>
      <c r="AY16" s="5">
        <f t="shared" si="28"/>
        <v>0.20126041666666669</v>
      </c>
      <c r="AZ16" s="5">
        <f t="shared" si="29"/>
        <v>3.9710916666666665E-2</v>
      </c>
      <c r="BA16" s="5">
        <f t="shared" si="30"/>
        <v>2.9331425457277658E-2</v>
      </c>
      <c r="BB16" s="469">
        <f t="shared" si="31"/>
        <v>4.7480280731644262</v>
      </c>
      <c r="BC16" s="5"/>
      <c r="BD16" s="177">
        <f t="shared" si="57"/>
        <v>5.9062931315311505E-2</v>
      </c>
      <c r="BE16" s="177">
        <f t="shared" si="32"/>
        <v>0.13864574637428112</v>
      </c>
      <c r="BF16" s="177">
        <f t="shared" si="33"/>
        <v>6.932287318714056E-2</v>
      </c>
      <c r="BG16" s="177"/>
      <c r="BH16" s="538">
        <f t="shared" si="34"/>
        <v>1.2209504494450215E-3</v>
      </c>
      <c r="BI16" s="538">
        <f t="shared" si="35"/>
        <v>2.8627958174623637E-2</v>
      </c>
      <c r="BJ16" s="538">
        <f t="shared" si="36"/>
        <v>4.3749999999999995E-3</v>
      </c>
      <c r="BK16" s="538">
        <f t="shared" si="37"/>
        <v>4.6565908480000008E-2</v>
      </c>
      <c r="BL16">
        <f t="shared" si="38"/>
        <v>9.2800000000000001E-3</v>
      </c>
      <c r="BM16">
        <f t="shared" si="39"/>
        <v>2.3625000000000002E-5</v>
      </c>
      <c r="BN16">
        <f t="shared" si="40"/>
        <v>9.0278607057475299E-2</v>
      </c>
      <c r="BO16" s="469">
        <f t="shared" si="58"/>
        <v>90.278607057475298</v>
      </c>
      <c r="BP16" s="177">
        <f t="shared" si="41"/>
        <v>1.5747049621294331E-2</v>
      </c>
      <c r="BQ16" s="177">
        <f t="shared" si="42"/>
        <v>6.0377624053235823E-3</v>
      </c>
      <c r="BR16" s="538"/>
      <c r="BT16" s="469">
        <f t="shared" si="59"/>
        <v>21.784812026617914</v>
      </c>
      <c r="BU16" s="538">
        <f t="shared" si="43"/>
        <v>3.4884298555572045E-4</v>
      </c>
      <c r="BV16" s="538">
        <f t="shared" si="60"/>
        <v>5.766792896304446E-4</v>
      </c>
      <c r="BW16" s="538">
        <f t="shared" si="44"/>
        <v>2.402830373460186E-4</v>
      </c>
      <c r="BX16" s="538">
        <f t="shared" si="45"/>
        <v>0</v>
      </c>
      <c r="BY16" s="538">
        <f t="shared" si="46"/>
        <v>1.3058237369360261E-3</v>
      </c>
      <c r="BZ16" s="538">
        <f t="shared" si="61"/>
        <v>1.1658053125321837E-3</v>
      </c>
      <c r="CA16" s="641">
        <f t="shared" si="47"/>
        <v>1.7600000000000003E-3</v>
      </c>
      <c r="CB16" s="469">
        <f t="shared" si="62"/>
        <v>3.0658237369360264</v>
      </c>
      <c r="CC16" s="177">
        <f t="shared" si="63"/>
        <v>0.11512924282102924</v>
      </c>
      <c r="CD16" s="5">
        <f t="shared" si="64"/>
        <v>0.52800000000000002</v>
      </c>
      <c r="CE16" s="177">
        <f t="shared" si="65"/>
        <v>0.82098583744065967</v>
      </c>
      <c r="CF16" s="5">
        <f t="shared" si="66"/>
        <v>82.098583744065962</v>
      </c>
      <c r="CG16">
        <f t="shared" si="67"/>
        <v>11</v>
      </c>
      <c r="CI16" s="571">
        <f t="shared" si="48"/>
        <v>-50</v>
      </c>
      <c r="CJ16">
        <f t="shared" si="49"/>
        <v>-50</v>
      </c>
    </row>
    <row r="17" spans="5:88" x14ac:dyDescent="0.25">
      <c r="E17" s="174">
        <v>12</v>
      </c>
      <c r="F17" s="221">
        <f t="shared" si="68"/>
        <v>2.4E-2</v>
      </c>
      <c r="G17" s="221">
        <f t="shared" si="50"/>
        <v>1.2E-2</v>
      </c>
      <c r="H17" s="221">
        <f t="shared" si="0"/>
        <v>0.38400000000000001</v>
      </c>
      <c r="I17" s="221">
        <f t="shared" si="69"/>
        <v>0.192</v>
      </c>
      <c r="J17" s="551">
        <f t="shared" si="1"/>
        <v>32</v>
      </c>
      <c r="K17" s="451">
        <f t="shared" si="2"/>
        <v>19.584</v>
      </c>
      <c r="L17" s="451">
        <f t="shared" si="3"/>
        <v>51.584000000000003</v>
      </c>
      <c r="M17" s="451"/>
      <c r="N17" s="221">
        <f t="shared" si="4"/>
        <v>0.37965260545905705</v>
      </c>
      <c r="O17" s="176">
        <f t="shared" si="51"/>
        <v>5.4669975186104214</v>
      </c>
      <c r="P17" s="176">
        <f t="shared" si="5"/>
        <v>2.7334987593052107</v>
      </c>
      <c r="Q17" s="221">
        <f t="shared" si="6"/>
        <v>0.34168734491315134</v>
      </c>
      <c r="R17" s="221">
        <f t="shared" si="7"/>
        <v>0.34168734491315134</v>
      </c>
      <c r="S17" s="451">
        <f t="shared" si="8"/>
        <v>16</v>
      </c>
      <c r="T17" s="221">
        <f t="shared" si="9"/>
        <v>0.10535947712418303</v>
      </c>
      <c r="U17" s="221">
        <f t="shared" si="10"/>
        <v>9.8774509803921592E-2</v>
      </c>
      <c r="V17" s="221">
        <f t="shared" si="11"/>
        <v>0.16139625784954509</v>
      </c>
      <c r="W17" s="201">
        <f t="shared" si="12"/>
        <v>350</v>
      </c>
      <c r="X17" s="451">
        <f t="shared" si="52"/>
        <v>350</v>
      </c>
      <c r="Z17" s="221">
        <f t="shared" si="13"/>
        <v>1.1570365118752215</v>
      </c>
      <c r="AA17" s="177">
        <f t="shared" si="14"/>
        <v>1.7724211272598367</v>
      </c>
      <c r="AB17" s="177">
        <f t="shared" si="15"/>
        <v>0.2871058342122137</v>
      </c>
      <c r="AC17" s="177"/>
      <c r="AD17" s="177">
        <f t="shared" si="16"/>
        <v>0.4595588235294118</v>
      </c>
      <c r="AE17" s="555">
        <f t="shared" si="17"/>
        <v>435.20000000000016</v>
      </c>
      <c r="AF17" s="538">
        <f t="shared" si="18"/>
        <v>1.9301470588235291E-2</v>
      </c>
      <c r="AH17" s="177">
        <f t="shared" si="19"/>
        <v>0.33123146848433005</v>
      </c>
      <c r="AI17" s="177">
        <f t="shared" si="20"/>
        <v>0.33123146848433005</v>
      </c>
      <c r="AJ17" s="177">
        <f t="shared" si="21"/>
        <v>1.2231344210995037</v>
      </c>
      <c r="AL17" s="555">
        <f t="shared" si="22"/>
        <v>24</v>
      </c>
      <c r="AM17" s="469">
        <f t="shared" si="23"/>
        <v>350</v>
      </c>
      <c r="AO17">
        <f t="shared" si="53"/>
        <v>24</v>
      </c>
      <c r="AP17" s="469">
        <f t="shared" si="24"/>
        <v>350</v>
      </c>
      <c r="AQ17" s="469"/>
      <c r="AR17" s="5">
        <f t="shared" si="54"/>
        <v>2.8571428571428572</v>
      </c>
      <c r="AS17" s="5">
        <f t="shared" si="25"/>
        <v>0.31052950170405946</v>
      </c>
      <c r="AT17" s="5">
        <f t="shared" si="55"/>
        <v>2.5466133554387977</v>
      </c>
      <c r="AU17" s="177">
        <f t="shared" si="56"/>
        <v>0.10868532559642081</v>
      </c>
      <c r="AW17" s="5">
        <f t="shared" si="26"/>
        <v>0.80504166666666677</v>
      </c>
      <c r="AX17" s="5">
        <f t="shared" si="27"/>
        <v>9.0548160000000003E-2</v>
      </c>
      <c r="AY17" s="5">
        <f t="shared" si="28"/>
        <v>0.20126041666666669</v>
      </c>
      <c r="AZ17" s="5">
        <f t="shared" si="29"/>
        <v>4.5077454545454539E-2</v>
      </c>
      <c r="BA17" s="5">
        <f t="shared" si="30"/>
        <v>3.183266694298497E-2</v>
      </c>
      <c r="BB17" s="469">
        <f t="shared" si="31"/>
        <v>5.153226710877596</v>
      </c>
      <c r="BC17" s="5"/>
      <c r="BD17" s="177">
        <f t="shared" si="57"/>
        <v>6.304583746617981E-2</v>
      </c>
      <c r="BE17" s="177">
        <f t="shared" si="32"/>
        <v>0.14443634102176167</v>
      </c>
      <c r="BF17" s="177">
        <f t="shared" si="33"/>
        <v>7.2218170510880836E-2</v>
      </c>
      <c r="BG17" s="177"/>
      <c r="BH17" s="538">
        <f t="shared" si="34"/>
        <v>1.3911721676341865E-3</v>
      </c>
      <c r="BI17" s="538">
        <f t="shared" si="35"/>
        <v>2.9900927123017441E-2</v>
      </c>
      <c r="BJ17" s="538">
        <f t="shared" si="36"/>
        <v>4.3749999999999995E-3</v>
      </c>
      <c r="BK17" s="538">
        <f t="shared" si="37"/>
        <v>4.6565908480000008E-2</v>
      </c>
      <c r="BL17">
        <f t="shared" si="38"/>
        <v>9.2800000000000001E-3</v>
      </c>
      <c r="BM17">
        <f t="shared" si="39"/>
        <v>2.3625000000000002E-5</v>
      </c>
      <c r="BN17">
        <f t="shared" si="40"/>
        <v>9.1747990085952247E-2</v>
      </c>
      <c r="BO17" s="469">
        <f t="shared" si="58"/>
        <v>91.747990085952253</v>
      </c>
      <c r="BP17" s="177">
        <f t="shared" si="41"/>
        <v>1.7137229224162272E-2</v>
      </c>
      <c r="BQ17" s="177">
        <f t="shared" si="42"/>
        <v>6.5763073060405679E-3</v>
      </c>
      <c r="BR17" s="538"/>
      <c r="BT17" s="469">
        <f t="shared" si="59"/>
        <v>23.713536530202841</v>
      </c>
      <c r="BU17" s="538">
        <f t="shared" si="43"/>
        <v>3.9747776218119622E-4</v>
      </c>
      <c r="BV17" s="538">
        <f t="shared" si="60"/>
        <v>6.2585569823263895E-4</v>
      </c>
      <c r="BW17" s="538">
        <f t="shared" si="44"/>
        <v>2.6077320759693292E-4</v>
      </c>
      <c r="BX17" s="538">
        <f t="shared" si="45"/>
        <v>0</v>
      </c>
      <c r="BY17" s="538">
        <f t="shared" si="46"/>
        <v>1.4383472274733173E-3</v>
      </c>
      <c r="BZ17" s="538">
        <f t="shared" si="61"/>
        <v>1.2841066680107679E-3</v>
      </c>
      <c r="CA17" s="641">
        <f t="shared" si="47"/>
        <v>1.9200000000000007E-3</v>
      </c>
      <c r="CB17" s="469">
        <f t="shared" si="62"/>
        <v>3.3583472274733182</v>
      </c>
      <c r="CC17" s="177">
        <f t="shared" si="63"/>
        <v>0.11881987384362841</v>
      </c>
      <c r="CD17" s="5">
        <f t="shared" si="64"/>
        <v>0.57600000000000007</v>
      </c>
      <c r="CE17" s="177">
        <f t="shared" si="65"/>
        <v>0.8289918318163001</v>
      </c>
      <c r="CF17" s="5">
        <f t="shared" si="66"/>
        <v>82.899183181630008</v>
      </c>
      <c r="CG17">
        <f t="shared" si="67"/>
        <v>12</v>
      </c>
      <c r="CI17" s="571">
        <f t="shared" si="48"/>
        <v>-50</v>
      </c>
      <c r="CJ17">
        <f t="shared" si="49"/>
        <v>-50</v>
      </c>
    </row>
    <row r="18" spans="5:88" x14ac:dyDescent="0.25">
      <c r="E18" s="174">
        <v>13</v>
      </c>
      <c r="F18" s="221">
        <f t="shared" si="68"/>
        <v>2.6000000000000002E-2</v>
      </c>
      <c r="G18" s="221">
        <f t="shared" si="50"/>
        <v>1.3000000000000001E-2</v>
      </c>
      <c r="H18" s="221">
        <f t="shared" si="0"/>
        <v>0.41600000000000004</v>
      </c>
      <c r="I18" s="221">
        <f t="shared" si="69"/>
        <v>0.20800000000000002</v>
      </c>
      <c r="J18" s="551">
        <f t="shared" si="1"/>
        <v>32</v>
      </c>
      <c r="K18" s="451">
        <f t="shared" si="2"/>
        <v>19.584</v>
      </c>
      <c r="L18" s="451">
        <f t="shared" si="3"/>
        <v>51.584000000000003</v>
      </c>
      <c r="M18" s="451"/>
      <c r="N18" s="221">
        <f t="shared" si="4"/>
        <v>0.37965260545905705</v>
      </c>
      <c r="O18" s="176">
        <f t="shared" si="51"/>
        <v>5.4669975186104214</v>
      </c>
      <c r="P18" s="176">
        <f t="shared" si="5"/>
        <v>2.7334987593052107</v>
      </c>
      <c r="Q18" s="221">
        <f t="shared" si="6"/>
        <v>0.34168734491315134</v>
      </c>
      <c r="R18" s="221">
        <f t="shared" si="7"/>
        <v>0.34168734491315134</v>
      </c>
      <c r="S18" s="451">
        <f t="shared" si="8"/>
        <v>16</v>
      </c>
      <c r="T18" s="221">
        <f t="shared" si="9"/>
        <v>0.11413943355119828</v>
      </c>
      <c r="U18" s="221">
        <f t="shared" si="10"/>
        <v>0.10700571895424839</v>
      </c>
      <c r="V18" s="221">
        <f t="shared" si="11"/>
        <v>0.17484594600367384</v>
      </c>
      <c r="W18" s="201">
        <f t="shared" si="12"/>
        <v>350</v>
      </c>
      <c r="X18" s="451">
        <f t="shared" si="52"/>
        <v>350</v>
      </c>
      <c r="Z18" s="221">
        <f t="shared" si="13"/>
        <v>1.1570365118752215</v>
      </c>
      <c r="AA18" s="177">
        <f t="shared" si="14"/>
        <v>1.7724211272598367</v>
      </c>
      <c r="AB18" s="177">
        <f t="shared" si="15"/>
        <v>0.2871058342122137</v>
      </c>
      <c r="AC18" s="177"/>
      <c r="AD18" s="177">
        <f t="shared" si="16"/>
        <v>0.4595588235294118</v>
      </c>
      <c r="AE18" s="555">
        <f t="shared" si="17"/>
        <v>471.46666666666681</v>
      </c>
      <c r="AF18" s="538">
        <f t="shared" si="18"/>
        <v>1.9301470588235291E-2</v>
      </c>
      <c r="AH18" s="177">
        <f t="shared" si="19"/>
        <v>0.34475664294853386</v>
      </c>
      <c r="AI18" s="177">
        <f t="shared" si="20"/>
        <v>0.34475664294853386</v>
      </c>
      <c r="AJ18" s="177">
        <f t="shared" si="21"/>
        <v>1.2331530688507657</v>
      </c>
      <c r="AL18" s="555">
        <f t="shared" si="22"/>
        <v>26.000000000000004</v>
      </c>
      <c r="AM18" s="469">
        <f t="shared" si="23"/>
        <v>350</v>
      </c>
      <c r="AO18">
        <f t="shared" si="53"/>
        <v>26.000000000000004</v>
      </c>
      <c r="AP18" s="469">
        <f t="shared" si="24"/>
        <v>350</v>
      </c>
      <c r="AQ18" s="469"/>
      <c r="AR18" s="5">
        <f t="shared" si="54"/>
        <v>2.8571428571428572</v>
      </c>
      <c r="AS18" s="5">
        <f t="shared" si="25"/>
        <v>0.3232093527642505</v>
      </c>
      <c r="AT18" s="5">
        <f t="shared" si="55"/>
        <v>2.5339335043786066</v>
      </c>
      <c r="AU18" s="177">
        <f t="shared" si="56"/>
        <v>0.11312327346748767</v>
      </c>
      <c r="AW18" s="5">
        <f t="shared" si="26"/>
        <v>0.80504166666666677</v>
      </c>
      <c r="AX18" s="5">
        <f t="shared" si="27"/>
        <v>9.9768326666666685E-2</v>
      </c>
      <c r="AY18" s="5">
        <f t="shared" si="28"/>
        <v>0.20126041666666669</v>
      </c>
      <c r="AZ18" s="5">
        <f t="shared" si="29"/>
        <v>5.073673484848485E-2</v>
      </c>
      <c r="BA18" s="5">
        <f t="shared" si="30"/>
        <v>3.4313682871793635E-2</v>
      </c>
      <c r="BB18" s="469">
        <f t="shared" si="31"/>
        <v>5.5551892594869816</v>
      </c>
      <c r="BC18" s="5"/>
      <c r="BD18" s="177">
        <f t="shared" si="57"/>
        <v>6.6946518642353167E-2</v>
      </c>
      <c r="BE18" s="177">
        <f t="shared" si="32"/>
        <v>0.14995937852251415</v>
      </c>
      <c r="BF18" s="177">
        <f t="shared" si="33"/>
        <v>7.4979689261257074E-2</v>
      </c>
      <c r="BG18" s="177"/>
      <c r="BH18" s="538">
        <f t="shared" si="34"/>
        <v>1.5686427254158288E-3</v>
      </c>
      <c r="BI18" s="538">
        <f t="shared" si="35"/>
        <v>3.1121871672250057E-2</v>
      </c>
      <c r="BJ18" s="538">
        <f t="shared" si="36"/>
        <v>4.3749999999999995E-3</v>
      </c>
      <c r="BK18" s="538">
        <f t="shared" si="37"/>
        <v>4.6565908480000008E-2</v>
      </c>
      <c r="BL18">
        <f t="shared" si="38"/>
        <v>9.2800000000000001E-3</v>
      </c>
      <c r="BM18">
        <f t="shared" si="39"/>
        <v>2.3625000000000002E-5</v>
      </c>
      <c r="BN18">
        <f t="shared" si="40"/>
        <v>9.3173780496410952E-2</v>
      </c>
      <c r="BO18" s="469">
        <f t="shared" si="58"/>
        <v>93.173780496410956</v>
      </c>
      <c r="BP18" s="177">
        <f t="shared" si="41"/>
        <v>1.8522345409020018E-2</v>
      </c>
      <c r="BQ18" s="177">
        <f t="shared" si="42"/>
        <v>7.1135863522550045E-3</v>
      </c>
      <c r="BR18" s="538"/>
      <c r="BT18" s="469">
        <f t="shared" si="59"/>
        <v>25.635931761275025</v>
      </c>
      <c r="BU18" s="538">
        <f t="shared" si="43"/>
        <v>4.4818363583309402E-4</v>
      </c>
      <c r="BV18" s="538">
        <f t="shared" si="60"/>
        <v>6.7463445620576025E-4</v>
      </c>
      <c r="BW18" s="538">
        <f t="shared" si="44"/>
        <v>2.8109769008573347E-4</v>
      </c>
      <c r="BX18" s="538">
        <f t="shared" si="45"/>
        <v>0</v>
      </c>
      <c r="BY18" s="538">
        <f t="shared" si="46"/>
        <v>1.5725622955815497E-3</v>
      </c>
      <c r="BZ18" s="538">
        <f t="shared" si="61"/>
        <v>1.4039157821245877E-3</v>
      </c>
      <c r="CA18" s="641">
        <f t="shared" si="47"/>
        <v>2.0800000000000003E-3</v>
      </c>
      <c r="CB18" s="469">
        <f t="shared" si="62"/>
        <v>3.65256229558155</v>
      </c>
      <c r="CC18" s="177">
        <f t="shared" si="63"/>
        <v>0.12246227455326752</v>
      </c>
      <c r="CD18" s="5">
        <f t="shared" si="64"/>
        <v>0.62400000000000011</v>
      </c>
      <c r="CE18" s="177">
        <f t="shared" si="65"/>
        <v>0.83594311631280083</v>
      </c>
      <c r="CF18" s="5">
        <f t="shared" si="66"/>
        <v>83.594311631280078</v>
      </c>
      <c r="CG18">
        <f t="shared" si="67"/>
        <v>13</v>
      </c>
      <c r="CI18" s="571">
        <f t="shared" si="48"/>
        <v>-50</v>
      </c>
      <c r="CJ18">
        <f t="shared" si="49"/>
        <v>-50</v>
      </c>
    </row>
    <row r="19" spans="5:88" x14ac:dyDescent="0.25">
      <c r="E19" s="174">
        <v>14</v>
      </c>
      <c r="F19" s="221">
        <f t="shared" si="68"/>
        <v>2.8000000000000004E-2</v>
      </c>
      <c r="G19" s="221">
        <f t="shared" si="50"/>
        <v>1.4000000000000002E-2</v>
      </c>
      <c r="H19" s="221">
        <f t="shared" si="0"/>
        <v>0.44800000000000006</v>
      </c>
      <c r="I19" s="221">
        <f t="shared" si="69"/>
        <v>0.22400000000000003</v>
      </c>
      <c r="J19" s="551">
        <f t="shared" si="1"/>
        <v>32</v>
      </c>
      <c r="K19" s="451">
        <f t="shared" si="2"/>
        <v>19.584</v>
      </c>
      <c r="L19" s="451">
        <f t="shared" si="3"/>
        <v>51.584000000000003</v>
      </c>
      <c r="M19" s="451"/>
      <c r="N19" s="221">
        <f t="shared" si="4"/>
        <v>0.37965260545905705</v>
      </c>
      <c r="O19" s="176">
        <f t="shared" si="51"/>
        <v>5.4669975186104214</v>
      </c>
      <c r="P19" s="176">
        <f t="shared" si="5"/>
        <v>2.7334987593052107</v>
      </c>
      <c r="Q19" s="221">
        <f t="shared" si="6"/>
        <v>0.34168734491315134</v>
      </c>
      <c r="R19" s="221">
        <f t="shared" si="7"/>
        <v>0.34168734491315134</v>
      </c>
      <c r="S19" s="451">
        <f t="shared" si="8"/>
        <v>16</v>
      </c>
      <c r="T19" s="221">
        <f t="shared" si="9"/>
        <v>0.12291938997821354</v>
      </c>
      <c r="U19" s="221">
        <f t="shared" si="10"/>
        <v>0.1152369281045752</v>
      </c>
      <c r="V19" s="221">
        <f t="shared" si="11"/>
        <v>0.18829563415780262</v>
      </c>
      <c r="W19" s="201">
        <f t="shared" si="12"/>
        <v>350</v>
      </c>
      <c r="X19" s="451">
        <f t="shared" si="52"/>
        <v>350</v>
      </c>
      <c r="Z19" s="221">
        <f t="shared" si="13"/>
        <v>1.1570365118752215</v>
      </c>
      <c r="AA19" s="177">
        <f t="shared" si="14"/>
        <v>1.7724211272598367</v>
      </c>
      <c r="AB19" s="177">
        <f t="shared" si="15"/>
        <v>0.2871058342122137</v>
      </c>
      <c r="AC19" s="177"/>
      <c r="AD19" s="177">
        <f t="shared" si="16"/>
        <v>0.4595588235294118</v>
      </c>
      <c r="AE19" s="555">
        <f t="shared" si="17"/>
        <v>507.73333333333352</v>
      </c>
      <c r="AF19" s="538">
        <f t="shared" si="18"/>
        <v>1.9301470588235291E-2</v>
      </c>
      <c r="AH19" s="177">
        <f t="shared" si="19"/>
        <v>0.35777087639996641</v>
      </c>
      <c r="AI19" s="177">
        <f t="shared" si="20"/>
        <v>0.35777087639996641</v>
      </c>
      <c r="AJ19" s="177">
        <f t="shared" si="21"/>
        <v>1.2427932417777527</v>
      </c>
      <c r="AL19" s="555">
        <f t="shared" si="22"/>
        <v>28.000000000000004</v>
      </c>
      <c r="AM19" s="469">
        <f t="shared" si="23"/>
        <v>350</v>
      </c>
      <c r="AO19">
        <f t="shared" si="53"/>
        <v>28.000000000000004</v>
      </c>
      <c r="AP19" s="469">
        <f t="shared" si="24"/>
        <v>350</v>
      </c>
      <c r="AQ19" s="469"/>
      <c r="AR19" s="5">
        <f t="shared" si="54"/>
        <v>2.8571428571428572</v>
      </c>
      <c r="AS19" s="5">
        <f t="shared" si="25"/>
        <v>0.33541019662496852</v>
      </c>
      <c r="AT19" s="5">
        <f t="shared" si="55"/>
        <v>2.5217326605178885</v>
      </c>
      <c r="AU19" s="177">
        <f t="shared" si="56"/>
        <v>0.11739356881873898</v>
      </c>
      <c r="AW19" s="5">
        <f t="shared" si="26"/>
        <v>0.80504166666666677</v>
      </c>
      <c r="AX19" s="5">
        <f t="shared" si="27"/>
        <v>0.10924610666666668</v>
      </c>
      <c r="AY19" s="5">
        <f t="shared" si="28"/>
        <v>0.20126041666666669</v>
      </c>
      <c r="AZ19" s="5">
        <f t="shared" si="29"/>
        <v>5.6688757575757573E-2</v>
      </c>
      <c r="BA19" s="5">
        <f t="shared" si="30"/>
        <v>3.6775267965885879E-2</v>
      </c>
      <c r="BB19" s="469">
        <f t="shared" si="31"/>
        <v>5.9540428745417406</v>
      </c>
      <c r="BC19" s="5"/>
      <c r="BD19" s="177">
        <f t="shared" si="57"/>
        <v>7.0772821546124132E-2</v>
      </c>
      <c r="BE19" s="177">
        <f t="shared" si="32"/>
        <v>0.15524509529812197</v>
      </c>
      <c r="BF19" s="177">
        <f t="shared" si="33"/>
        <v>7.7622547649060986E-2</v>
      </c>
      <c r="BG19" s="177"/>
      <c r="BH19" s="538">
        <f t="shared" si="34"/>
        <v>1.7530772943598362E-3</v>
      </c>
      <c r="BI19" s="538">
        <f t="shared" si="35"/>
        <v>3.2296692554377768E-2</v>
      </c>
      <c r="BJ19" s="538">
        <f t="shared" si="36"/>
        <v>4.3749999999999995E-3</v>
      </c>
      <c r="BK19" s="538">
        <f t="shared" si="37"/>
        <v>4.6565908480000008E-2</v>
      </c>
      <c r="BL19">
        <f t="shared" si="38"/>
        <v>9.2800000000000001E-3</v>
      </c>
      <c r="BM19">
        <f t="shared" si="39"/>
        <v>2.3625000000000002E-5</v>
      </c>
      <c r="BN19">
        <f t="shared" si="40"/>
        <v>9.456155401357276E-2</v>
      </c>
      <c r="BO19" s="469">
        <f t="shared" si="58"/>
        <v>94.56155401357276</v>
      </c>
      <c r="BP19" s="177">
        <f t="shared" si="41"/>
        <v>1.9902597132594978E-2</v>
      </c>
      <c r="BQ19" s="177">
        <f t="shared" si="42"/>
        <v>7.6496492831487446E-3</v>
      </c>
      <c r="BR19" s="538"/>
      <c r="BT19" s="469">
        <f t="shared" si="59"/>
        <v>27.552246415743724</v>
      </c>
      <c r="BU19" s="538">
        <f t="shared" si="43"/>
        <v>5.008792269599533E-4</v>
      </c>
      <c r="BV19" s="538">
        <f t="shared" si="60"/>
        <v>7.2303118842368915E-4</v>
      </c>
      <c r="BW19" s="538">
        <f t="shared" si="44"/>
        <v>3.0126299517653716E-4</v>
      </c>
      <c r="BX19" s="538">
        <f t="shared" si="45"/>
        <v>0</v>
      </c>
      <c r="BY19" s="538">
        <f t="shared" si="46"/>
        <v>1.7084026686533819E-3</v>
      </c>
      <c r="BZ19" s="538">
        <f t="shared" si="61"/>
        <v>1.5251734105601795E-3</v>
      </c>
      <c r="CA19" s="641">
        <f t="shared" si="47"/>
        <v>2.2400000000000007E-3</v>
      </c>
      <c r="CB19" s="469">
        <f t="shared" si="62"/>
        <v>3.9484026686533826</v>
      </c>
      <c r="CC19" s="177">
        <f t="shared" si="63"/>
        <v>0.12606220309796987</v>
      </c>
      <c r="CD19" s="5">
        <f t="shared" si="64"/>
        <v>0.67200000000000015</v>
      </c>
      <c r="CE19" s="177">
        <f t="shared" si="65"/>
        <v>0.84203962722628212</v>
      </c>
      <c r="CF19" s="5">
        <f t="shared" si="66"/>
        <v>84.203962722628205</v>
      </c>
      <c r="CG19">
        <f t="shared" si="67"/>
        <v>14.000000000000002</v>
      </c>
      <c r="CI19" s="571">
        <f t="shared" si="48"/>
        <v>-50</v>
      </c>
      <c r="CJ19">
        <f t="shared" si="49"/>
        <v>-50</v>
      </c>
    </row>
    <row r="20" spans="5:88" x14ac:dyDescent="0.25">
      <c r="E20" s="174">
        <v>15</v>
      </c>
      <c r="F20" s="221">
        <f t="shared" si="68"/>
        <v>0.03</v>
      </c>
      <c r="G20" s="221">
        <f t="shared" si="50"/>
        <v>1.4999999999999999E-2</v>
      </c>
      <c r="H20" s="221">
        <f t="shared" si="0"/>
        <v>0.48</v>
      </c>
      <c r="I20" s="221">
        <f t="shared" si="69"/>
        <v>0.24</v>
      </c>
      <c r="J20" s="551">
        <f t="shared" si="1"/>
        <v>32</v>
      </c>
      <c r="K20" s="451">
        <f t="shared" si="2"/>
        <v>19.584</v>
      </c>
      <c r="L20" s="451">
        <f t="shared" si="3"/>
        <v>51.584000000000003</v>
      </c>
      <c r="M20" s="451"/>
      <c r="N20" s="221">
        <f t="shared" si="4"/>
        <v>0.37965260545905705</v>
      </c>
      <c r="O20" s="176">
        <f t="shared" si="51"/>
        <v>5.4669975186104214</v>
      </c>
      <c r="P20" s="176">
        <f t="shared" si="5"/>
        <v>2.7334987593052107</v>
      </c>
      <c r="Q20" s="221">
        <f t="shared" si="6"/>
        <v>0.34168734491315134</v>
      </c>
      <c r="R20" s="221">
        <f t="shared" si="7"/>
        <v>0.34168734491315134</v>
      </c>
      <c r="S20" s="451">
        <f t="shared" si="8"/>
        <v>16</v>
      </c>
      <c r="T20" s="221">
        <f t="shared" si="9"/>
        <v>0.13169934640522876</v>
      </c>
      <c r="U20" s="221">
        <f t="shared" si="10"/>
        <v>0.12346813725490197</v>
      </c>
      <c r="V20" s="221">
        <f t="shared" si="11"/>
        <v>0.20174532231193132</v>
      </c>
      <c r="W20" s="201">
        <f t="shared" si="12"/>
        <v>350</v>
      </c>
      <c r="X20" s="451">
        <f t="shared" si="52"/>
        <v>350</v>
      </c>
      <c r="Z20" s="221">
        <f t="shared" si="13"/>
        <v>1.1570365118752215</v>
      </c>
      <c r="AA20" s="177">
        <f t="shared" si="14"/>
        <v>1.7724211272598367</v>
      </c>
      <c r="AB20" s="177">
        <f t="shared" si="15"/>
        <v>0.2871058342122137</v>
      </c>
      <c r="AC20" s="177"/>
      <c r="AD20" s="177">
        <f t="shared" si="16"/>
        <v>0.4595588235294118</v>
      </c>
      <c r="AE20" s="555">
        <f t="shared" si="17"/>
        <v>544.00000000000011</v>
      </c>
      <c r="AF20" s="538">
        <f t="shared" si="18"/>
        <v>1.9301470588235291E-2</v>
      </c>
      <c r="AH20" s="177">
        <f t="shared" si="19"/>
        <v>0.37032803990902058</v>
      </c>
      <c r="AI20" s="177">
        <f t="shared" si="20"/>
        <v>0.37032803990902058</v>
      </c>
      <c r="AJ20" s="177">
        <f t="shared" si="21"/>
        <v>1.2520948443770523</v>
      </c>
      <c r="AL20" s="555">
        <f t="shared" si="22"/>
        <v>30</v>
      </c>
      <c r="AM20" s="469">
        <f t="shared" si="23"/>
        <v>350</v>
      </c>
      <c r="AO20">
        <f t="shared" si="53"/>
        <v>30</v>
      </c>
      <c r="AP20" s="469">
        <f t="shared" si="24"/>
        <v>350</v>
      </c>
      <c r="AQ20" s="469"/>
      <c r="AR20" s="5">
        <f t="shared" si="54"/>
        <v>2.8571428571428572</v>
      </c>
      <c r="AS20" s="5">
        <f t="shared" si="25"/>
        <v>0.34718253741470678</v>
      </c>
      <c r="AT20" s="5">
        <f t="shared" si="55"/>
        <v>2.5099603197281506</v>
      </c>
      <c r="AU20" s="177">
        <f t="shared" si="56"/>
        <v>0.12151388809514738</v>
      </c>
      <c r="AW20" s="5">
        <f t="shared" si="26"/>
        <v>0.80504166666666677</v>
      </c>
      <c r="AX20" s="5">
        <f t="shared" si="27"/>
        <v>0.11898149999999999</v>
      </c>
      <c r="AY20" s="5">
        <f t="shared" si="28"/>
        <v>0.20126041666666669</v>
      </c>
      <c r="AZ20" s="5">
        <f t="shared" si="29"/>
        <v>6.293352272727272E-2</v>
      </c>
      <c r="BA20" s="5">
        <f t="shared" si="30"/>
        <v>3.9218129995752353E-2</v>
      </c>
      <c r="BB20" s="469">
        <f t="shared" si="31"/>
        <v>6.3499007993203769</v>
      </c>
      <c r="BC20" s="5"/>
      <c r="BD20" s="177">
        <f t="shared" si="57"/>
        <v>7.4531339707771982E-2</v>
      </c>
      <c r="BE20" s="177">
        <f t="shared" si="32"/>
        <v>0.16031841339664094</v>
      </c>
      <c r="BF20" s="177">
        <f t="shared" si="33"/>
        <v>8.0159206698320468E-2</v>
      </c>
      <c r="BG20" s="177"/>
      <c r="BH20" s="538">
        <f t="shared" si="34"/>
        <v>1.9442222095223578E-3</v>
      </c>
      <c r="BI20" s="538">
        <f t="shared" si="35"/>
        <v>3.3430252818667114E-2</v>
      </c>
      <c r="BJ20" s="538">
        <f t="shared" si="36"/>
        <v>4.3749999999999995E-3</v>
      </c>
      <c r="BK20" s="538">
        <f t="shared" si="37"/>
        <v>4.6565908480000008E-2</v>
      </c>
      <c r="BL20">
        <f t="shared" si="38"/>
        <v>9.2800000000000001E-3</v>
      </c>
      <c r="BM20">
        <f t="shared" si="39"/>
        <v>2.3625000000000002E-5</v>
      </c>
      <c r="BN20">
        <f t="shared" si="40"/>
        <v>9.5915884397226495E-2</v>
      </c>
      <c r="BO20" s="469">
        <f t="shared" si="58"/>
        <v>95.915884397226492</v>
      </c>
      <c r="BP20" s="177">
        <f t="shared" si="41"/>
        <v>2.127816158347421E-2</v>
      </c>
      <c r="BQ20" s="177">
        <f t="shared" si="42"/>
        <v>8.1845403958685538E-3</v>
      </c>
      <c r="BR20" s="538"/>
      <c r="BT20" s="469">
        <f t="shared" si="59"/>
        <v>29.462701979342764</v>
      </c>
      <c r="BU20" s="538">
        <f t="shared" si="43"/>
        <v>5.5549205986353089E-4</v>
      </c>
      <c r="BV20" s="538">
        <f t="shared" si="60"/>
        <v>7.7105981022048775E-4</v>
      </c>
      <c r="BW20" s="538">
        <f t="shared" si="44"/>
        <v>3.2127492092520326E-4</v>
      </c>
      <c r="BX20" s="538">
        <f t="shared" si="45"/>
        <v>0</v>
      </c>
      <c r="BY20" s="538">
        <f t="shared" si="46"/>
        <v>1.8458093318557791E-3</v>
      </c>
      <c r="BZ20" s="538">
        <f t="shared" si="61"/>
        <v>1.6478267910092219E-3</v>
      </c>
      <c r="CA20" s="641">
        <f t="shared" si="47"/>
        <v>2.4000000000000002E-3</v>
      </c>
      <c r="CB20" s="469">
        <f t="shared" si="62"/>
        <v>4.2458093318557797</v>
      </c>
      <c r="CC20" s="177">
        <f t="shared" si="63"/>
        <v>0.12962439570842504</v>
      </c>
      <c r="CD20" s="5">
        <f t="shared" si="64"/>
        <v>0.72</v>
      </c>
      <c r="CE20" s="177">
        <f t="shared" si="65"/>
        <v>0.84743329362577569</v>
      </c>
      <c r="CF20" s="5">
        <f t="shared" si="66"/>
        <v>84.743329362577569</v>
      </c>
      <c r="CG20">
        <f t="shared" si="67"/>
        <v>15</v>
      </c>
      <c r="CI20" s="571">
        <f t="shared" si="48"/>
        <v>-50</v>
      </c>
      <c r="CJ20">
        <f t="shared" si="49"/>
        <v>-50</v>
      </c>
    </row>
    <row r="21" spans="5:88" s="77" customFormat="1" x14ac:dyDescent="0.25">
      <c r="E21" s="193">
        <v>16</v>
      </c>
      <c r="F21" s="333">
        <f t="shared" si="68"/>
        <v>3.2000000000000001E-2</v>
      </c>
      <c r="G21" s="221">
        <f t="shared" si="50"/>
        <v>1.6E-2</v>
      </c>
      <c r="H21" s="221">
        <f t="shared" si="0"/>
        <v>0.51200000000000001</v>
      </c>
      <c r="I21" s="221">
        <f t="shared" si="69"/>
        <v>0.25600000000000001</v>
      </c>
      <c r="J21" s="551">
        <f t="shared" si="1"/>
        <v>32</v>
      </c>
      <c r="K21" s="451">
        <f t="shared" si="2"/>
        <v>19.584</v>
      </c>
      <c r="L21" s="545">
        <f t="shared" si="3"/>
        <v>51.584000000000003</v>
      </c>
      <c r="M21" s="545"/>
      <c r="N21" s="333">
        <f t="shared" si="4"/>
        <v>0.37965260545905705</v>
      </c>
      <c r="O21" s="176">
        <f t="shared" si="51"/>
        <v>5.4669975186104214</v>
      </c>
      <c r="P21" s="176">
        <f t="shared" si="5"/>
        <v>2.7334987593052107</v>
      </c>
      <c r="Q21" s="333">
        <f t="shared" si="6"/>
        <v>0.34168734491315134</v>
      </c>
      <c r="R21" s="221">
        <f t="shared" si="7"/>
        <v>0.34168734491315134</v>
      </c>
      <c r="S21" s="451">
        <f t="shared" si="8"/>
        <v>16</v>
      </c>
      <c r="T21" s="221">
        <f t="shared" si="9"/>
        <v>0.14047930283224402</v>
      </c>
      <c r="U21" s="333">
        <f t="shared" si="10"/>
        <v>0.13169934640522876</v>
      </c>
      <c r="V21" s="221">
        <f t="shared" si="11"/>
        <v>0.21519501046606007</v>
      </c>
      <c r="W21" s="547">
        <f t="shared" si="12"/>
        <v>350</v>
      </c>
      <c r="X21" s="545">
        <f t="shared" si="52"/>
        <v>350</v>
      </c>
      <c r="Z21" s="333">
        <f t="shared" si="13"/>
        <v>1.1570365118752215</v>
      </c>
      <c r="AA21" s="177">
        <f t="shared" si="14"/>
        <v>1.7724211272598367</v>
      </c>
      <c r="AB21" s="177">
        <f t="shared" si="15"/>
        <v>0.2871058342122137</v>
      </c>
      <c r="AC21" s="548"/>
      <c r="AD21" s="177">
        <f t="shared" si="16"/>
        <v>0.4595588235294118</v>
      </c>
      <c r="AE21" s="555">
        <f t="shared" si="17"/>
        <v>580.26666666666677</v>
      </c>
      <c r="AF21" s="538">
        <f t="shared" si="18"/>
        <v>1.9301470588235291E-2</v>
      </c>
      <c r="AG21"/>
      <c r="AH21" s="177">
        <f t="shared" si="19"/>
        <v>0.38247315498700596</v>
      </c>
      <c r="AI21" s="177">
        <f t="shared" si="20"/>
        <v>0.38247315498700596</v>
      </c>
      <c r="AJ21" s="177">
        <f t="shared" si="21"/>
        <v>1.2610912259163007</v>
      </c>
      <c r="AL21" s="555">
        <f t="shared" si="22"/>
        <v>32</v>
      </c>
      <c r="AM21" s="469">
        <f t="shared" si="23"/>
        <v>350</v>
      </c>
      <c r="AO21">
        <f t="shared" si="53"/>
        <v>32</v>
      </c>
      <c r="AP21" s="469">
        <f t="shared" si="24"/>
        <v>350</v>
      </c>
      <c r="AQ21" s="469"/>
      <c r="AR21" s="5">
        <f t="shared" si="54"/>
        <v>2.8571428571428572</v>
      </c>
      <c r="AS21" s="5">
        <f t="shared" si="25"/>
        <v>0.35856858280031806</v>
      </c>
      <c r="AT21" s="5">
        <f t="shared" si="55"/>
        <v>2.498574274342539</v>
      </c>
      <c r="AU21" s="177">
        <f t="shared" si="56"/>
        <v>0.12549900398011132</v>
      </c>
      <c r="AW21" s="5">
        <f t="shared" si="26"/>
        <v>0.80504166666666677</v>
      </c>
      <c r="AX21" s="5">
        <f t="shared" si="27"/>
        <v>0.12897450666666666</v>
      </c>
      <c r="AY21" s="5">
        <f t="shared" si="28"/>
        <v>0.20126041666666669</v>
      </c>
      <c r="AZ21" s="5">
        <f t="shared" si="29"/>
        <v>6.9471030303030284E-2</v>
      </c>
      <c r="BA21" s="5">
        <f t="shared" si="30"/>
        <v>4.1642904572375648E-2</v>
      </c>
      <c r="BB21" s="469">
        <f t="shared" si="31"/>
        <v>6.742864731580104</v>
      </c>
      <c r="BC21" s="5"/>
      <c r="BD21" s="177">
        <f t="shared" si="57"/>
        <v>7.8227683589584152E-2</v>
      </c>
      <c r="BE21" s="177">
        <f t="shared" si="32"/>
        <v>0.16520016325824893</v>
      </c>
      <c r="BF21" s="177">
        <f t="shared" si="33"/>
        <v>8.2600081629124467E-2</v>
      </c>
      <c r="BG21" s="177"/>
      <c r="BH21" s="538">
        <f t="shared" si="34"/>
        <v>2.1418496679272325E-3</v>
      </c>
      <c r="BI21" s="538">
        <f t="shared" si="35"/>
        <v>3.4526616646987002E-2</v>
      </c>
      <c r="BJ21" s="538">
        <f t="shared" si="36"/>
        <v>4.3749999999999995E-3</v>
      </c>
      <c r="BK21" s="538">
        <f t="shared" si="37"/>
        <v>4.6565908480000008E-2</v>
      </c>
      <c r="BL21">
        <f t="shared" si="38"/>
        <v>9.2800000000000001E-3</v>
      </c>
      <c r="BM21">
        <f t="shared" si="39"/>
        <v>2.3625000000000002E-5</v>
      </c>
      <c r="BN21">
        <f t="shared" si="40"/>
        <v>9.724057618146012E-2</v>
      </c>
      <c r="BO21" s="469">
        <f t="shared" si="58"/>
        <v>97.240576181460114</v>
      </c>
      <c r="BP21" s="177">
        <f t="shared" si="41"/>
        <v>2.2649197885290902E-2</v>
      </c>
      <c r="BQ21" s="177">
        <f t="shared" si="42"/>
        <v>8.7182994713227262E-3</v>
      </c>
      <c r="BR21" s="538"/>
      <c r="BT21" s="469">
        <f t="shared" si="59"/>
        <v>31.367497356613629</v>
      </c>
      <c r="BU21" s="538">
        <f t="shared" si="43"/>
        <v>6.1195704797920936E-4</v>
      </c>
      <c r="BV21" s="538">
        <f t="shared" si="60"/>
        <v>8.1873281821656294E-4</v>
      </c>
      <c r="BW21" s="538">
        <f t="shared" si="44"/>
        <v>3.4113867425690129E-4</v>
      </c>
      <c r="BX21" s="538">
        <f t="shared" si="45"/>
        <v>0</v>
      </c>
      <c r="BY21" s="538">
        <f t="shared" si="46"/>
        <v>1.9847292933075512E-3</v>
      </c>
      <c r="BZ21" s="538">
        <f t="shared" si="61"/>
        <v>1.7718285404526737E-3</v>
      </c>
      <c r="CA21" s="641">
        <f t="shared" si="47"/>
        <v>2.5600000000000002E-3</v>
      </c>
      <c r="CB21" s="469">
        <f t="shared" si="62"/>
        <v>4.5447292933075509</v>
      </c>
      <c r="CC21" s="177">
        <f t="shared" si="63"/>
        <v>0.13315280283138131</v>
      </c>
      <c r="CD21" s="5">
        <f t="shared" si="64"/>
        <v>0.76800000000000002</v>
      </c>
      <c r="CE21" s="177">
        <f t="shared" si="65"/>
        <v>0.85224170372325181</v>
      </c>
      <c r="CF21" s="5">
        <f t="shared" si="66"/>
        <v>85.224170372325176</v>
      </c>
      <c r="CG21">
        <f t="shared" si="67"/>
        <v>16</v>
      </c>
      <c r="CI21" s="571">
        <f t="shared" si="48"/>
        <v>-50</v>
      </c>
      <c r="CJ21">
        <f t="shared" si="49"/>
        <v>-50</v>
      </c>
    </row>
    <row r="22" spans="5:88" x14ac:dyDescent="0.25">
      <c r="E22" s="174">
        <v>17</v>
      </c>
      <c r="F22" s="221">
        <f t="shared" si="68"/>
        <v>3.4000000000000002E-2</v>
      </c>
      <c r="G22" s="221">
        <f t="shared" si="50"/>
        <v>1.7000000000000001E-2</v>
      </c>
      <c r="H22" s="221">
        <f t="shared" si="0"/>
        <v>0.54400000000000004</v>
      </c>
      <c r="I22" s="221">
        <f t="shared" si="69"/>
        <v>0.27200000000000002</v>
      </c>
      <c r="J22" s="551">
        <f t="shared" si="1"/>
        <v>32</v>
      </c>
      <c r="K22" s="451">
        <f t="shared" si="2"/>
        <v>19.584</v>
      </c>
      <c r="L22" s="451">
        <f t="shared" si="3"/>
        <v>51.584000000000003</v>
      </c>
      <c r="M22" s="451"/>
      <c r="N22" s="221">
        <f t="shared" si="4"/>
        <v>0.37965260545905705</v>
      </c>
      <c r="O22" s="176">
        <f t="shared" si="51"/>
        <v>5.4669975186104214</v>
      </c>
      <c r="P22" s="176">
        <f t="shared" si="5"/>
        <v>2.7334987593052107</v>
      </c>
      <c r="Q22" s="221">
        <f t="shared" si="6"/>
        <v>0.34168734491315134</v>
      </c>
      <c r="R22" s="221">
        <f t="shared" si="7"/>
        <v>0.34168734491315134</v>
      </c>
      <c r="S22" s="451">
        <f t="shared" si="8"/>
        <v>16</v>
      </c>
      <c r="T22" s="221">
        <f t="shared" si="9"/>
        <v>0.14925925925925929</v>
      </c>
      <c r="U22" s="221">
        <f t="shared" si="10"/>
        <v>0.13993055555555559</v>
      </c>
      <c r="V22" s="221">
        <f t="shared" si="11"/>
        <v>0.22864469862018885</v>
      </c>
      <c r="W22" s="201">
        <f t="shared" si="12"/>
        <v>350</v>
      </c>
      <c r="X22" s="451">
        <f t="shared" si="52"/>
        <v>350</v>
      </c>
      <c r="Z22" s="221">
        <f t="shared" si="13"/>
        <v>1.1570365118752215</v>
      </c>
      <c r="AA22" s="177">
        <f t="shared" si="14"/>
        <v>1.7724211272598367</v>
      </c>
      <c r="AB22" s="177">
        <f t="shared" si="15"/>
        <v>0.2871058342122137</v>
      </c>
      <c r="AC22" s="177"/>
      <c r="AD22" s="177">
        <f t="shared" si="16"/>
        <v>0.4595588235294118</v>
      </c>
      <c r="AE22" s="555">
        <f t="shared" si="17"/>
        <v>616.53333333333342</v>
      </c>
      <c r="AF22" s="538">
        <f t="shared" si="18"/>
        <v>1.9301470588235291E-2</v>
      </c>
      <c r="AH22" s="177">
        <f t="shared" si="19"/>
        <v>0.39424430424366491</v>
      </c>
      <c r="AI22" s="177">
        <f t="shared" si="20"/>
        <v>0.39424430424366491</v>
      </c>
      <c r="AJ22" s="177">
        <f t="shared" si="21"/>
        <v>1.2698105957360482</v>
      </c>
      <c r="AL22" s="555">
        <f t="shared" si="22"/>
        <v>34</v>
      </c>
      <c r="AM22" s="469">
        <f t="shared" si="23"/>
        <v>350</v>
      </c>
      <c r="AO22">
        <f t="shared" si="53"/>
        <v>34</v>
      </c>
      <c r="AP22" s="469">
        <f t="shared" si="24"/>
        <v>350</v>
      </c>
      <c r="AQ22" s="469"/>
      <c r="AR22" s="5">
        <f t="shared" si="54"/>
        <v>2.8571428571428572</v>
      </c>
      <c r="AS22" s="5">
        <f t="shared" si="25"/>
        <v>0.36960403522843582</v>
      </c>
      <c r="AT22" s="5">
        <f t="shared" si="55"/>
        <v>2.4875388219144212</v>
      </c>
      <c r="AU22" s="177">
        <f t="shared" si="56"/>
        <v>0.12936141232995255</v>
      </c>
      <c r="AW22" s="5">
        <f t="shared" si="26"/>
        <v>0.80504166666666677</v>
      </c>
      <c r="AX22" s="5">
        <f t="shared" si="27"/>
        <v>0.13922512666666667</v>
      </c>
      <c r="AY22" s="5">
        <f t="shared" si="28"/>
        <v>0.20126041666666669</v>
      </c>
      <c r="AZ22" s="5">
        <f t="shared" si="29"/>
        <v>7.6301280303030294E-2</v>
      </c>
      <c r="BA22" s="5">
        <f t="shared" si="30"/>
        <v>4.4050166638067871E-2</v>
      </c>
      <c r="BB22" s="469">
        <f t="shared" si="31"/>
        <v>7.1330266620908604</v>
      </c>
      <c r="BC22" s="5"/>
      <c r="BD22" s="177">
        <f t="shared" si="57"/>
        <v>8.1866679254396918E-2</v>
      </c>
      <c r="BE22" s="177">
        <f t="shared" si="32"/>
        <v>0.16990796687596538</v>
      </c>
      <c r="BF22" s="177">
        <f t="shared" si="33"/>
        <v>8.4953983437982689E-2</v>
      </c>
      <c r="BG22" s="177"/>
      <c r="BH22" s="538">
        <f t="shared" si="34"/>
        <v>2.3457536102498059E-3</v>
      </c>
      <c r="BI22" s="538">
        <f t="shared" si="35"/>
        <v>3.5589221832684127E-2</v>
      </c>
      <c r="BJ22" s="538">
        <f t="shared" si="36"/>
        <v>4.3749999999999995E-3</v>
      </c>
      <c r="BK22" s="538">
        <f t="shared" si="37"/>
        <v>4.6565908480000008E-2</v>
      </c>
      <c r="BL22">
        <f t="shared" si="38"/>
        <v>9.2800000000000001E-3</v>
      </c>
      <c r="BM22">
        <f t="shared" si="39"/>
        <v>2.3625000000000002E-5</v>
      </c>
      <c r="BN22">
        <f t="shared" si="40"/>
        <v>9.8538832433463855E-2</v>
      </c>
      <c r="BO22" s="469">
        <f t="shared" si="58"/>
        <v>98.538832433463853</v>
      </c>
      <c r="BP22" s="177">
        <f t="shared" si="41"/>
        <v>2.4015849973427025E-2</v>
      </c>
      <c r="BQ22" s="177">
        <f t="shared" si="42"/>
        <v>9.2509624933567562E-3</v>
      </c>
      <c r="BR22" s="538"/>
      <c r="BT22" s="469">
        <f t="shared" si="59"/>
        <v>33.266812466783783</v>
      </c>
      <c r="BU22" s="538">
        <f t="shared" si="43"/>
        <v>6.702153172142303E-4</v>
      </c>
      <c r="BV22" s="538">
        <f t="shared" si="60"/>
        <v>8.6606151623772444E-4</v>
      </c>
      <c r="BW22" s="538">
        <f t="shared" si="44"/>
        <v>3.6085896509905187E-4</v>
      </c>
      <c r="BX22" s="538">
        <f t="shared" si="45"/>
        <v>0</v>
      </c>
      <c r="BY22" s="538">
        <f t="shared" si="46"/>
        <v>2.1251146248595951E-3</v>
      </c>
      <c r="BZ22" s="538">
        <f t="shared" si="61"/>
        <v>1.8971357985510065E-3</v>
      </c>
      <c r="CA22" s="641">
        <f t="shared" si="47"/>
        <v>2.7199999999999998E-3</v>
      </c>
      <c r="CB22" s="469">
        <f t="shared" si="62"/>
        <v>4.8451146248595949</v>
      </c>
      <c r="CC22" s="177">
        <f t="shared" si="63"/>
        <v>0.13665075952510722</v>
      </c>
      <c r="CD22" s="5">
        <f t="shared" si="64"/>
        <v>0.81600000000000006</v>
      </c>
      <c r="CE22" s="177">
        <f t="shared" si="65"/>
        <v>0.85655733944596124</v>
      </c>
      <c r="CF22" s="5">
        <f t="shared" si="66"/>
        <v>85.655733944596122</v>
      </c>
      <c r="CG22">
        <f t="shared" si="67"/>
        <v>17</v>
      </c>
      <c r="CI22" s="571">
        <f t="shared" si="48"/>
        <v>-50</v>
      </c>
      <c r="CJ22">
        <f t="shared" si="49"/>
        <v>-50</v>
      </c>
    </row>
    <row r="23" spans="5:88" x14ac:dyDescent="0.25">
      <c r="E23" s="174">
        <v>18</v>
      </c>
      <c r="F23" s="221">
        <f t="shared" si="68"/>
        <v>3.5999999999999997E-2</v>
      </c>
      <c r="G23" s="221">
        <f t="shared" si="50"/>
        <v>1.7999999999999999E-2</v>
      </c>
      <c r="H23" s="221">
        <f t="shared" si="0"/>
        <v>0.57599999999999996</v>
      </c>
      <c r="I23" s="221">
        <f t="shared" si="69"/>
        <v>0.28799999999999998</v>
      </c>
      <c r="J23" s="551">
        <f t="shared" si="1"/>
        <v>32</v>
      </c>
      <c r="K23" s="451">
        <f t="shared" si="2"/>
        <v>19.584</v>
      </c>
      <c r="L23" s="451">
        <f t="shared" si="3"/>
        <v>51.584000000000003</v>
      </c>
      <c r="M23" s="451"/>
      <c r="N23" s="221">
        <f t="shared" si="4"/>
        <v>0.37965260545905705</v>
      </c>
      <c r="O23" s="176">
        <f t="shared" si="51"/>
        <v>5.4669975186104214</v>
      </c>
      <c r="P23" s="176">
        <f t="shared" si="5"/>
        <v>2.7334987593052107</v>
      </c>
      <c r="Q23" s="221">
        <f t="shared" si="6"/>
        <v>0.34168734491315134</v>
      </c>
      <c r="R23" s="221">
        <f t="shared" si="7"/>
        <v>0.34168734491315134</v>
      </c>
      <c r="S23" s="451">
        <f t="shared" si="8"/>
        <v>16</v>
      </c>
      <c r="T23" s="221">
        <f t="shared" si="9"/>
        <v>0.15803921568627449</v>
      </c>
      <c r="U23" s="221">
        <f t="shared" si="10"/>
        <v>0.14816176470588233</v>
      </c>
      <c r="V23" s="221">
        <f t="shared" si="11"/>
        <v>0.24209438677431755</v>
      </c>
      <c r="W23" s="201">
        <f t="shared" si="12"/>
        <v>350</v>
      </c>
      <c r="X23" s="451">
        <f t="shared" si="52"/>
        <v>350</v>
      </c>
      <c r="Z23" s="221">
        <f t="shared" si="13"/>
        <v>1.1570365118752215</v>
      </c>
      <c r="AA23" s="177">
        <f t="shared" si="14"/>
        <v>1.7724211272598367</v>
      </c>
      <c r="AB23" s="177">
        <f t="shared" si="15"/>
        <v>0.2871058342122137</v>
      </c>
      <c r="AC23" s="177"/>
      <c r="AD23" s="177">
        <f t="shared" si="16"/>
        <v>0.4595588235294118</v>
      </c>
      <c r="AE23" s="555">
        <f t="shared" si="17"/>
        <v>652.79999999999995</v>
      </c>
      <c r="AF23" s="538">
        <f t="shared" si="18"/>
        <v>1.9301470588235291E-2</v>
      </c>
      <c r="AH23" s="177">
        <f t="shared" si="19"/>
        <v>0.4056740422696879</v>
      </c>
      <c r="AI23" s="177">
        <f t="shared" si="20"/>
        <v>0.4056740422696879</v>
      </c>
      <c r="AJ23" s="177">
        <f t="shared" si="21"/>
        <v>1.278277068347917</v>
      </c>
      <c r="AL23" s="555">
        <f t="shared" si="22"/>
        <v>36</v>
      </c>
      <c r="AM23" s="469">
        <f t="shared" si="23"/>
        <v>350</v>
      </c>
      <c r="AO23">
        <f t="shared" si="53"/>
        <v>36</v>
      </c>
      <c r="AP23" s="469">
        <f t="shared" si="24"/>
        <v>350</v>
      </c>
      <c r="AQ23" s="469"/>
      <c r="AR23" s="5">
        <f t="shared" si="54"/>
        <v>2.8571428571428572</v>
      </c>
      <c r="AS23" s="5">
        <f t="shared" si="25"/>
        <v>0.38031941462783242</v>
      </c>
      <c r="AT23" s="5">
        <f t="shared" si="55"/>
        <v>2.4768234425150246</v>
      </c>
      <c r="AU23" s="177">
        <f t="shared" si="56"/>
        <v>0.13311179511974133</v>
      </c>
      <c r="AW23" s="5">
        <f t="shared" si="26"/>
        <v>0.80504166666666677</v>
      </c>
      <c r="AX23" s="5">
        <f t="shared" si="27"/>
        <v>0.14973335999999998</v>
      </c>
      <c r="AY23" s="5">
        <f t="shared" si="28"/>
        <v>0.20126041666666669</v>
      </c>
      <c r="AZ23" s="5">
        <f t="shared" si="29"/>
        <v>8.3424272727272708E-2</v>
      </c>
      <c r="BA23" s="5">
        <f t="shared" si="30"/>
        <v>4.6440439547156702E-2</v>
      </c>
      <c r="BB23" s="469">
        <f t="shared" si="31"/>
        <v>7.5204703275450733</v>
      </c>
      <c r="BC23" s="5"/>
      <c r="BD23" s="177">
        <f t="shared" si="57"/>
        <v>8.5452517580551016E-2</v>
      </c>
      <c r="BE23" s="177">
        <f t="shared" si="32"/>
        <v>0.17445688998037484</v>
      </c>
      <c r="BF23" s="177">
        <f t="shared" si="33"/>
        <v>8.722844499018742E-2</v>
      </c>
      <c r="BG23" s="177"/>
      <c r="BH23" s="538">
        <f t="shared" si="34"/>
        <v>2.555746466299033E-3</v>
      </c>
      <c r="BI23" s="538">
        <f t="shared" si="35"/>
        <v>3.6621007143769271E-2</v>
      </c>
      <c r="BJ23" s="538">
        <f t="shared" si="36"/>
        <v>4.3749999999999995E-3</v>
      </c>
      <c r="BK23" s="538">
        <f t="shared" si="37"/>
        <v>4.6565908480000008E-2</v>
      </c>
      <c r="BL23">
        <f t="shared" si="38"/>
        <v>9.2800000000000001E-3</v>
      </c>
      <c r="BM23">
        <f t="shared" si="39"/>
        <v>2.3625000000000002E-5</v>
      </c>
      <c r="BN23">
        <f t="shared" si="40"/>
        <v>9.9813378386657839E-2</v>
      </c>
      <c r="BO23" s="469">
        <f t="shared" si="58"/>
        <v>99.813378386657845</v>
      </c>
      <c r="BP23" s="177">
        <f t="shared" si="41"/>
        <v>2.5378248868340603E-2</v>
      </c>
      <c r="BQ23" s="177">
        <f t="shared" si="42"/>
        <v>9.7825622170851501E-3</v>
      </c>
      <c r="BR23" s="538"/>
      <c r="BT23" s="469">
        <f t="shared" si="59"/>
        <v>35.160811085425749</v>
      </c>
      <c r="BU23" s="538">
        <f t="shared" si="43"/>
        <v>7.302132760854381E-4</v>
      </c>
      <c r="BV23" s="538">
        <f t="shared" si="60"/>
        <v>9.1305619384873837E-4</v>
      </c>
      <c r="BW23" s="538">
        <f t="shared" si="44"/>
        <v>3.8044008077030766E-4</v>
      </c>
      <c r="BX23" s="538">
        <f t="shared" si="45"/>
        <v>0</v>
      </c>
      <c r="BY23" s="538">
        <f t="shared" si="46"/>
        <v>2.2669217040772816E-3</v>
      </c>
      <c r="BZ23" s="538">
        <f t="shared" si="61"/>
        <v>2.023709550704484E-3</v>
      </c>
      <c r="CA23" s="641">
        <f t="shared" si="47"/>
        <v>2.8799999999999997E-3</v>
      </c>
      <c r="CB23" s="469">
        <f t="shared" si="62"/>
        <v>5.1469217040772817</v>
      </c>
      <c r="CC23" s="177">
        <f t="shared" si="63"/>
        <v>0.14012111117616086</v>
      </c>
      <c r="CD23" s="5">
        <f t="shared" si="64"/>
        <v>0.86399999999999988</v>
      </c>
      <c r="CE23" s="177">
        <f t="shared" si="65"/>
        <v>0.86045397351318276</v>
      </c>
      <c r="CF23" s="5">
        <f t="shared" si="66"/>
        <v>86.045397351318272</v>
      </c>
      <c r="CG23">
        <f t="shared" si="67"/>
        <v>17.999999999999996</v>
      </c>
      <c r="CI23" s="571">
        <f t="shared" si="48"/>
        <v>-50</v>
      </c>
      <c r="CJ23">
        <f t="shared" si="49"/>
        <v>-50</v>
      </c>
    </row>
    <row r="24" spans="5:88" x14ac:dyDescent="0.25">
      <c r="E24" s="174">
        <v>19</v>
      </c>
      <c r="F24" s="221">
        <f t="shared" si="68"/>
        <v>3.8000000000000006E-2</v>
      </c>
      <c r="G24" s="221">
        <f t="shared" si="50"/>
        <v>1.9000000000000003E-2</v>
      </c>
      <c r="H24" s="221">
        <f t="shared" si="0"/>
        <v>0.6080000000000001</v>
      </c>
      <c r="I24" s="221">
        <f t="shared" si="69"/>
        <v>0.30400000000000005</v>
      </c>
      <c r="J24" s="551">
        <f t="shared" si="1"/>
        <v>32</v>
      </c>
      <c r="K24" s="451">
        <f t="shared" si="2"/>
        <v>19.584</v>
      </c>
      <c r="L24" s="451">
        <f t="shared" si="3"/>
        <v>51.584000000000003</v>
      </c>
      <c r="M24" s="451"/>
      <c r="N24" s="221">
        <f t="shared" si="4"/>
        <v>0.37965260545905705</v>
      </c>
      <c r="O24" s="176">
        <f t="shared" si="51"/>
        <v>5.4669975186104214</v>
      </c>
      <c r="P24" s="176">
        <f t="shared" si="5"/>
        <v>2.7334987593052107</v>
      </c>
      <c r="Q24" s="221">
        <f t="shared" si="6"/>
        <v>0.34168734491315134</v>
      </c>
      <c r="R24" s="221">
        <f t="shared" si="7"/>
        <v>0.34168734491315134</v>
      </c>
      <c r="S24" s="451">
        <f t="shared" si="8"/>
        <v>16</v>
      </c>
      <c r="T24" s="221">
        <f t="shared" si="9"/>
        <v>0.16681917211328981</v>
      </c>
      <c r="U24" s="221">
        <f t="shared" si="10"/>
        <v>0.15639297385620921</v>
      </c>
      <c r="V24" s="221">
        <f t="shared" si="11"/>
        <v>0.25554407492844639</v>
      </c>
      <c r="W24" s="201">
        <f t="shared" si="12"/>
        <v>350</v>
      </c>
      <c r="X24" s="451">
        <f t="shared" si="52"/>
        <v>350</v>
      </c>
      <c r="Z24" s="221">
        <f t="shared" si="13"/>
        <v>1.1570365118752215</v>
      </c>
      <c r="AA24" s="177">
        <f t="shared" si="14"/>
        <v>1.7724211272598367</v>
      </c>
      <c r="AB24" s="177">
        <f t="shared" si="15"/>
        <v>0.2871058342122137</v>
      </c>
      <c r="AC24" s="177"/>
      <c r="AD24" s="177">
        <f t="shared" si="16"/>
        <v>0.4595588235294118</v>
      </c>
      <c r="AE24" s="555">
        <f t="shared" si="17"/>
        <v>689.06666666666695</v>
      </c>
      <c r="AF24" s="538">
        <f t="shared" si="18"/>
        <v>1.9301470588235291E-2</v>
      </c>
      <c r="AH24" s="177">
        <f t="shared" si="19"/>
        <v>0.41679045780138219</v>
      </c>
      <c r="AI24" s="177">
        <f t="shared" si="20"/>
        <v>0.41679045780138219</v>
      </c>
      <c r="AJ24" s="177">
        <f t="shared" si="21"/>
        <v>1.286511450223246</v>
      </c>
      <c r="AL24" s="555">
        <f t="shared" si="22"/>
        <v>38.000000000000007</v>
      </c>
      <c r="AM24" s="469">
        <f t="shared" si="23"/>
        <v>350</v>
      </c>
      <c r="AO24">
        <f t="shared" si="53"/>
        <v>38.000000000000007</v>
      </c>
      <c r="AP24" s="469">
        <f t="shared" si="24"/>
        <v>350</v>
      </c>
      <c r="AQ24" s="469"/>
      <c r="AR24" s="5">
        <f t="shared" si="54"/>
        <v>2.8571428571428572</v>
      </c>
      <c r="AS24" s="5">
        <f t="shared" si="25"/>
        <v>0.39074105418879579</v>
      </c>
      <c r="AT24" s="5">
        <f t="shared" si="55"/>
        <v>2.4664018029540613</v>
      </c>
      <c r="AU24" s="177">
        <f t="shared" si="56"/>
        <v>0.13675936896607852</v>
      </c>
      <c r="AW24" s="5">
        <f t="shared" si="26"/>
        <v>0.80504166666666677</v>
      </c>
      <c r="AX24" s="5">
        <f t="shared" si="27"/>
        <v>0.1604992066666667</v>
      </c>
      <c r="AY24" s="5">
        <f t="shared" si="28"/>
        <v>0.20126041666666669</v>
      </c>
      <c r="AZ24" s="5">
        <f t="shared" si="29"/>
        <v>9.0840007575757581E-2</v>
      </c>
      <c r="BA24" s="5">
        <f t="shared" si="30"/>
        <v>4.8814202350132466E-2</v>
      </c>
      <c r="BB24" s="469">
        <f t="shared" si="31"/>
        <v>7.9052723760211947</v>
      </c>
      <c r="BC24" s="5"/>
      <c r="BD24" s="177">
        <f t="shared" si="57"/>
        <v>8.8988868395020404E-2</v>
      </c>
      <c r="BE24" s="177">
        <f t="shared" si="32"/>
        <v>0.1788599330542836</v>
      </c>
      <c r="BF24" s="177">
        <f t="shared" si="33"/>
        <v>8.9429966527141802E-2</v>
      </c>
      <c r="BG24" s="177"/>
      <c r="BH24" s="538">
        <f t="shared" si="34"/>
        <v>2.7716565443791914E-3</v>
      </c>
      <c r="BI24" s="538">
        <f t="shared" si="35"/>
        <v>3.7624508206646375E-2</v>
      </c>
      <c r="BJ24" s="538">
        <f t="shared" si="36"/>
        <v>4.3749999999999995E-3</v>
      </c>
      <c r="BK24" s="538">
        <f t="shared" si="37"/>
        <v>4.6565908480000008E-2</v>
      </c>
      <c r="BL24">
        <f t="shared" si="38"/>
        <v>9.2800000000000001E-3</v>
      </c>
      <c r="BM24">
        <f t="shared" si="39"/>
        <v>2.3625000000000002E-5</v>
      </c>
      <c r="BN24">
        <f t="shared" si="40"/>
        <v>0.10106655433232402</v>
      </c>
      <c r="BO24" s="469">
        <f t="shared" si="58"/>
        <v>101.06655433232402</v>
      </c>
      <c r="BP24" s="177">
        <f t="shared" si="41"/>
        <v>2.6736514499133841E-2</v>
      </c>
      <c r="BQ24" s="177">
        <f t="shared" si="42"/>
        <v>1.0313128624783461E-2</v>
      </c>
      <c r="BR24" s="538"/>
      <c r="BT24" s="469">
        <f t="shared" si="59"/>
        <v>37.049643123917299</v>
      </c>
      <c r="BU24" s="538">
        <f t="shared" si="43"/>
        <v>7.9190186982262616E-4</v>
      </c>
      <c r="BV24" s="538">
        <f t="shared" si="60"/>
        <v>9.5972626956548424E-4</v>
      </c>
      <c r="BW24" s="538">
        <f t="shared" si="44"/>
        <v>3.9988594565228515E-4</v>
      </c>
      <c r="BX24" s="538">
        <f t="shared" si="45"/>
        <v>0</v>
      </c>
      <c r="BY24" s="538">
        <f t="shared" si="46"/>
        <v>2.4101106061985024E-3</v>
      </c>
      <c r="BZ24" s="538">
        <f t="shared" si="61"/>
        <v>2.1515140850403955E-3</v>
      </c>
      <c r="CA24" s="641">
        <f t="shared" si="47"/>
        <v>3.0400000000000006E-3</v>
      </c>
      <c r="CB24" s="469">
        <f t="shared" si="62"/>
        <v>5.4501106061985034</v>
      </c>
      <c r="CC24" s="177">
        <f t="shared" si="63"/>
        <v>0.14356630806243981</v>
      </c>
      <c r="CD24" s="5">
        <f t="shared" si="64"/>
        <v>0.91200000000000014</v>
      </c>
      <c r="CE24" s="177">
        <f t="shared" si="65"/>
        <v>0.86399119887980791</v>
      </c>
      <c r="CF24" s="5">
        <f t="shared" si="66"/>
        <v>86.399119887980788</v>
      </c>
      <c r="CG24">
        <f t="shared" si="67"/>
        <v>19.000000000000004</v>
      </c>
      <c r="CI24" s="571">
        <f t="shared" si="48"/>
        <v>-50</v>
      </c>
      <c r="CJ24">
        <f t="shared" si="49"/>
        <v>-50</v>
      </c>
    </row>
    <row r="25" spans="5:88" x14ac:dyDescent="0.25">
      <c r="E25" s="174">
        <v>20</v>
      </c>
      <c r="F25" s="221">
        <f t="shared" si="68"/>
        <v>4.0000000000000008E-2</v>
      </c>
      <c r="G25" s="221">
        <f t="shared" si="50"/>
        <v>2.0000000000000004E-2</v>
      </c>
      <c r="H25" s="221">
        <f t="shared" si="0"/>
        <v>0.64000000000000012</v>
      </c>
      <c r="I25" s="221">
        <f t="shared" si="69"/>
        <v>0.32000000000000006</v>
      </c>
      <c r="J25" s="551">
        <f t="shared" si="1"/>
        <v>32</v>
      </c>
      <c r="K25" s="451">
        <f t="shared" si="2"/>
        <v>19.584</v>
      </c>
      <c r="L25" s="451">
        <f t="shared" si="3"/>
        <v>51.584000000000003</v>
      </c>
      <c r="M25" s="451"/>
      <c r="N25" s="221">
        <f t="shared" si="4"/>
        <v>0.37965260545905705</v>
      </c>
      <c r="O25" s="176">
        <f t="shared" si="51"/>
        <v>5.4669975186104214</v>
      </c>
      <c r="P25" s="176">
        <f t="shared" si="5"/>
        <v>2.7334987593052107</v>
      </c>
      <c r="Q25" s="221">
        <f t="shared" si="6"/>
        <v>0.34168734491315134</v>
      </c>
      <c r="R25" s="221">
        <f t="shared" si="7"/>
        <v>0.34168734491315134</v>
      </c>
      <c r="S25" s="451">
        <f t="shared" si="8"/>
        <v>16</v>
      </c>
      <c r="T25" s="221">
        <f t="shared" si="9"/>
        <v>0.17559912854030507</v>
      </c>
      <c r="U25" s="221">
        <f t="shared" si="10"/>
        <v>0.164624183006536</v>
      </c>
      <c r="V25" s="221">
        <f t="shared" si="11"/>
        <v>0.26899376308257522</v>
      </c>
      <c r="W25" s="201">
        <f t="shared" si="12"/>
        <v>350</v>
      </c>
      <c r="X25" s="451">
        <f t="shared" si="52"/>
        <v>350</v>
      </c>
      <c r="Z25" s="221">
        <f t="shared" si="13"/>
        <v>1.1570365118752215</v>
      </c>
      <c r="AA25" s="177">
        <f t="shared" si="14"/>
        <v>1.7724211272598367</v>
      </c>
      <c r="AB25" s="177">
        <f t="shared" si="15"/>
        <v>0.2871058342122137</v>
      </c>
      <c r="AC25" s="177"/>
      <c r="AD25" s="177">
        <f t="shared" si="16"/>
        <v>0.4595588235294118</v>
      </c>
      <c r="AE25" s="555">
        <f t="shared" si="17"/>
        <v>725.3333333333336</v>
      </c>
      <c r="AF25" s="538">
        <f t="shared" si="18"/>
        <v>1.9301470588235291E-2</v>
      </c>
      <c r="AH25" s="177">
        <f t="shared" si="19"/>
        <v>0.42761798705987902</v>
      </c>
      <c r="AI25" s="177">
        <f t="shared" si="20"/>
        <v>0.42761798705987902</v>
      </c>
      <c r="AJ25" s="177">
        <f t="shared" si="21"/>
        <v>1.294531842266577</v>
      </c>
      <c r="AL25" s="555">
        <f t="shared" si="22"/>
        <v>40.000000000000007</v>
      </c>
      <c r="AM25" s="469">
        <f t="shared" si="23"/>
        <v>350</v>
      </c>
      <c r="AO25">
        <f t="shared" si="53"/>
        <v>40.000000000000007</v>
      </c>
      <c r="AP25" s="469">
        <f t="shared" si="24"/>
        <v>350</v>
      </c>
      <c r="AQ25" s="469"/>
      <c r="AR25" s="5">
        <f t="shared" si="54"/>
        <v>2.8571428571428572</v>
      </c>
      <c r="AS25" s="5">
        <f t="shared" si="25"/>
        <v>0.40089186286863659</v>
      </c>
      <c r="AT25" s="5">
        <f t="shared" si="55"/>
        <v>2.4562509942742206</v>
      </c>
      <c r="AU25" s="177">
        <f t="shared" si="56"/>
        <v>0.14031215200402281</v>
      </c>
      <c r="AW25" s="5">
        <f t="shared" si="26"/>
        <v>0.80504166666666677</v>
      </c>
      <c r="AX25" s="5">
        <f t="shared" si="27"/>
        <v>0.17152266666666671</v>
      </c>
      <c r="AY25" s="5">
        <f t="shared" si="28"/>
        <v>0.20126041666666669</v>
      </c>
      <c r="AZ25" s="5">
        <f t="shared" si="29"/>
        <v>9.8548484848484871E-2</v>
      </c>
      <c r="BA25" s="5">
        <f t="shared" si="30"/>
        <v>5.1171895714046269E-2</v>
      </c>
      <c r="BB25" s="469">
        <f t="shared" si="31"/>
        <v>8.2875033142474024</v>
      </c>
      <c r="BC25" s="5"/>
      <c r="BD25" s="177">
        <f t="shared" si="57"/>
        <v>9.2478969183255835E-2</v>
      </c>
      <c r="BE25" s="177">
        <f t="shared" si="32"/>
        <v>0.18312840734074368</v>
      </c>
      <c r="BF25" s="177">
        <f t="shared" si="33"/>
        <v>9.1564203670371838E-2</v>
      </c>
      <c r="BG25" s="177"/>
      <c r="BH25" s="538">
        <f t="shared" si="34"/>
        <v>2.9933259094191539E-3</v>
      </c>
      <c r="BI25" s="538">
        <f t="shared" si="35"/>
        <v>3.8601930927869399E-2</v>
      </c>
      <c r="BJ25" s="538">
        <f t="shared" si="36"/>
        <v>4.3749999999999995E-3</v>
      </c>
      <c r="BK25" s="538">
        <f t="shared" si="37"/>
        <v>4.6565908480000008E-2</v>
      </c>
      <c r="BL25">
        <f t="shared" si="38"/>
        <v>9.2800000000000001E-3</v>
      </c>
      <c r="BM25">
        <f t="shared" si="39"/>
        <v>2.3625000000000002E-5</v>
      </c>
      <c r="BN25">
        <f t="shared" si="40"/>
        <v>0.10230038660945084</v>
      </c>
      <c r="BO25" s="469">
        <f t="shared" si="58"/>
        <v>102.30038660945084</v>
      </c>
      <c r="BP25" s="177">
        <f t="shared" si="41"/>
        <v>2.8090757185710108E-2</v>
      </c>
      <c r="BQ25" s="177">
        <f t="shared" si="42"/>
        <v>1.0842689296427529E-2</v>
      </c>
      <c r="BR25" s="538"/>
      <c r="BT25" s="469">
        <f t="shared" si="59"/>
        <v>38.93344648213764</v>
      </c>
      <c r="BU25" s="538">
        <f t="shared" si="43"/>
        <v>8.5523597411975836E-4</v>
      </c>
      <c r="BV25" s="538">
        <f t="shared" si="60"/>
        <v>1.0060804072547203E-3</v>
      </c>
      <c r="BW25" s="538">
        <f t="shared" si="44"/>
        <v>4.1920016968946679E-4</v>
      </c>
      <c r="BX25" s="538">
        <f t="shared" si="45"/>
        <v>0</v>
      </c>
      <c r="BY25" s="538">
        <f t="shared" si="46"/>
        <v>2.5546446099368228E-3</v>
      </c>
      <c r="BZ25" s="538">
        <f t="shared" si="61"/>
        <v>2.2805165510639456E-3</v>
      </c>
      <c r="CA25" s="641">
        <f t="shared" si="47"/>
        <v>3.2000000000000006E-3</v>
      </c>
      <c r="CB25" s="469">
        <f t="shared" si="62"/>
        <v>5.7546446099368227</v>
      </c>
      <c r="CC25" s="177">
        <f t="shared" si="63"/>
        <v>0.14698847770152532</v>
      </c>
      <c r="CD25" s="5">
        <f t="shared" si="64"/>
        <v>0.96000000000000019</v>
      </c>
      <c r="CE25" s="177">
        <f t="shared" si="65"/>
        <v>0.86721769859183895</v>
      </c>
      <c r="CF25" s="5">
        <f t="shared" si="66"/>
        <v>86.721769859183894</v>
      </c>
      <c r="CG25">
        <f t="shared" si="67"/>
        <v>20.000000000000004</v>
      </c>
      <c r="CI25" s="571">
        <f t="shared" si="48"/>
        <v>-50</v>
      </c>
      <c r="CJ25">
        <f t="shared" si="49"/>
        <v>-50</v>
      </c>
    </row>
    <row r="26" spans="5:88" x14ac:dyDescent="0.25">
      <c r="E26" s="174">
        <v>21</v>
      </c>
      <c r="F26" s="221">
        <f t="shared" si="68"/>
        <v>4.2000000000000003E-2</v>
      </c>
      <c r="G26" s="221">
        <f t="shared" si="50"/>
        <v>2.1000000000000001E-2</v>
      </c>
      <c r="H26" s="221">
        <f t="shared" si="0"/>
        <v>0.67200000000000004</v>
      </c>
      <c r="I26" s="221">
        <f t="shared" si="69"/>
        <v>0.33600000000000002</v>
      </c>
      <c r="J26" s="551">
        <f t="shared" si="1"/>
        <v>32</v>
      </c>
      <c r="K26" s="451">
        <f t="shared" si="2"/>
        <v>19.584</v>
      </c>
      <c r="L26" s="451">
        <f t="shared" si="3"/>
        <v>51.584000000000003</v>
      </c>
      <c r="M26" s="451"/>
      <c r="N26" s="221">
        <f t="shared" si="4"/>
        <v>0.37965260545905705</v>
      </c>
      <c r="O26" s="176">
        <f t="shared" si="51"/>
        <v>5.4669975186104214</v>
      </c>
      <c r="P26" s="176">
        <f t="shared" si="5"/>
        <v>2.7334987593052107</v>
      </c>
      <c r="Q26" s="221">
        <f t="shared" si="6"/>
        <v>0.34168734491315134</v>
      </c>
      <c r="R26" s="221">
        <f t="shared" si="7"/>
        <v>0.34168734491315134</v>
      </c>
      <c r="S26" s="451">
        <f t="shared" si="8"/>
        <v>16</v>
      </c>
      <c r="T26" s="221">
        <f t="shared" si="9"/>
        <v>0.18437908496732028</v>
      </c>
      <c r="U26" s="221">
        <f t="shared" si="10"/>
        <v>0.17285539215686277</v>
      </c>
      <c r="V26" s="221">
        <f t="shared" si="11"/>
        <v>0.28244345123670384</v>
      </c>
      <c r="W26" s="201">
        <f t="shared" si="12"/>
        <v>350</v>
      </c>
      <c r="X26" s="451">
        <f t="shared" si="52"/>
        <v>350</v>
      </c>
      <c r="Z26" s="221">
        <f t="shared" si="13"/>
        <v>1.1570365118752215</v>
      </c>
      <c r="AA26" s="177">
        <f t="shared" si="14"/>
        <v>1.7724211272598367</v>
      </c>
      <c r="AB26" s="177">
        <f t="shared" si="15"/>
        <v>0.2871058342122137</v>
      </c>
      <c r="AC26" s="177"/>
      <c r="AD26" s="177">
        <f t="shared" si="16"/>
        <v>0.4595588235294118</v>
      </c>
      <c r="AE26" s="555">
        <f t="shared" si="17"/>
        <v>761.60000000000025</v>
      </c>
      <c r="AF26" s="538">
        <f t="shared" si="18"/>
        <v>1.9301470588235291E-2</v>
      </c>
      <c r="AH26" s="177">
        <f t="shared" si="19"/>
        <v>0.4381780460041329</v>
      </c>
      <c r="AI26" s="177">
        <f t="shared" si="20"/>
        <v>0.4381780460041329</v>
      </c>
      <c r="AJ26" s="177">
        <f t="shared" si="21"/>
        <v>1.3023541081512096</v>
      </c>
      <c r="AL26" s="555">
        <f t="shared" si="22"/>
        <v>42</v>
      </c>
      <c r="AM26" s="469">
        <f t="shared" si="23"/>
        <v>350</v>
      </c>
      <c r="AO26">
        <f t="shared" si="53"/>
        <v>42</v>
      </c>
      <c r="AP26" s="469">
        <f t="shared" si="24"/>
        <v>350</v>
      </c>
      <c r="AQ26" s="469"/>
      <c r="AR26" s="5">
        <f t="shared" si="54"/>
        <v>2.8571428571428572</v>
      </c>
      <c r="AS26" s="5">
        <f t="shared" si="25"/>
        <v>0.41079191812887461</v>
      </c>
      <c r="AT26" s="5">
        <f t="shared" si="55"/>
        <v>2.4463509390139828</v>
      </c>
      <c r="AU26" s="177">
        <f t="shared" si="56"/>
        <v>0.14377717134510612</v>
      </c>
      <c r="AW26" s="5">
        <f t="shared" si="26"/>
        <v>0.80504166666666677</v>
      </c>
      <c r="AX26" s="5">
        <f t="shared" si="27"/>
        <v>0.18280373999999999</v>
      </c>
      <c r="AY26" s="5">
        <f t="shared" si="28"/>
        <v>0.20126041666666669</v>
      </c>
      <c r="AZ26" s="5">
        <f t="shared" si="29"/>
        <v>0.10654970454545454</v>
      </c>
      <c r="BA26" s="5">
        <f t="shared" si="30"/>
        <v>5.3513926790930873E-2</v>
      </c>
      <c r="BB26" s="469">
        <f t="shared" si="31"/>
        <v>8.667228286548939</v>
      </c>
      <c r="BC26" s="5"/>
      <c r="BD26" s="177">
        <f t="shared" si="57"/>
        <v>9.5925695025299615E-2</v>
      </c>
      <c r="BE26" s="177">
        <f t="shared" si="32"/>
        <v>0.18727222714995531</v>
      </c>
      <c r="BF26" s="177">
        <f t="shared" si="33"/>
        <v>9.3636113574977656E-2</v>
      </c>
      <c r="BG26" s="177"/>
      <c r="BH26" s="538">
        <f t="shared" si="34"/>
        <v>3.2206086381303769E-3</v>
      </c>
      <c r="BI26" s="538">
        <f t="shared" si="35"/>
        <v>3.9555208568885086E-2</v>
      </c>
      <c r="BJ26" s="538">
        <f t="shared" si="36"/>
        <v>4.3749999999999995E-3</v>
      </c>
      <c r="BK26" s="538">
        <f t="shared" si="37"/>
        <v>4.6565908480000008E-2</v>
      </c>
      <c r="BL26">
        <f t="shared" si="38"/>
        <v>9.2800000000000001E-3</v>
      </c>
      <c r="BM26">
        <f t="shared" si="39"/>
        <v>2.3625000000000002E-5</v>
      </c>
      <c r="BN26">
        <f t="shared" si="40"/>
        <v>0.10351664267968308</v>
      </c>
      <c r="BO26" s="469">
        <f t="shared" si="58"/>
        <v>103.51664267968307</v>
      </c>
      <c r="BP26" s="177">
        <f t="shared" si="41"/>
        <v>2.9441078857571107E-2</v>
      </c>
      <c r="BQ26" s="177">
        <f t="shared" si="42"/>
        <v>1.1371269714392777E-2</v>
      </c>
      <c r="BR26" s="538"/>
      <c r="BT26" s="469">
        <f t="shared" si="59"/>
        <v>40.812348571963881</v>
      </c>
      <c r="BU26" s="538">
        <f t="shared" si="43"/>
        <v>9.2017389660867916E-4</v>
      </c>
      <c r="BV26" s="538">
        <f t="shared" si="60"/>
        <v>1.0521266118511336E-3</v>
      </c>
      <c r="BW26" s="538">
        <f t="shared" si="44"/>
        <v>4.3838608827130571E-4</v>
      </c>
      <c r="BX26" s="538">
        <f t="shared" si="45"/>
        <v>0</v>
      </c>
      <c r="BY26" s="538">
        <f t="shared" si="46"/>
        <v>2.7004897911023745E-3</v>
      </c>
      <c r="BZ26" s="538">
        <f t="shared" si="61"/>
        <v>2.4106865967311185E-3</v>
      </c>
      <c r="CA26" s="641">
        <f t="shared" si="47"/>
        <v>3.3600000000000006E-3</v>
      </c>
      <c r="CB26" s="469">
        <f t="shared" si="62"/>
        <v>6.0604897911023752</v>
      </c>
      <c r="CC26" s="177">
        <f t="shared" si="63"/>
        <v>0.15038948104274935</v>
      </c>
      <c r="CD26" s="5">
        <f t="shared" si="64"/>
        <v>1.008</v>
      </c>
      <c r="CE26" s="177">
        <f t="shared" si="65"/>
        <v>0.87017364754782389</v>
      </c>
      <c r="CF26" s="5">
        <f t="shared" si="66"/>
        <v>87.017364754782392</v>
      </c>
      <c r="CG26">
        <f t="shared" si="67"/>
        <v>21</v>
      </c>
      <c r="CI26" s="571">
        <f t="shared" si="48"/>
        <v>-50</v>
      </c>
      <c r="CJ26">
        <f t="shared" si="49"/>
        <v>-50</v>
      </c>
    </row>
    <row r="27" spans="5:88" x14ac:dyDescent="0.25">
      <c r="E27" s="174">
        <v>22</v>
      </c>
      <c r="F27" s="221">
        <f t="shared" si="68"/>
        <v>4.4000000000000004E-2</v>
      </c>
      <c r="G27" s="221">
        <f t="shared" si="50"/>
        <v>2.2000000000000002E-2</v>
      </c>
      <c r="H27" s="221">
        <f t="shared" si="0"/>
        <v>0.70400000000000007</v>
      </c>
      <c r="I27" s="221">
        <f t="shared" si="69"/>
        <v>0.35200000000000004</v>
      </c>
      <c r="J27" s="551">
        <f t="shared" si="1"/>
        <v>32</v>
      </c>
      <c r="K27" s="451">
        <f t="shared" si="2"/>
        <v>19.584</v>
      </c>
      <c r="L27" s="451">
        <f t="shared" si="3"/>
        <v>51.584000000000003</v>
      </c>
      <c r="M27" s="451"/>
      <c r="N27" s="221">
        <f t="shared" si="4"/>
        <v>0.37965260545905705</v>
      </c>
      <c r="O27" s="176">
        <f t="shared" si="51"/>
        <v>5.4669975186104214</v>
      </c>
      <c r="P27" s="176">
        <f t="shared" si="5"/>
        <v>2.7334987593052107</v>
      </c>
      <c r="Q27" s="221">
        <f t="shared" si="6"/>
        <v>0.34168734491315134</v>
      </c>
      <c r="R27" s="221">
        <f t="shared" si="7"/>
        <v>0.34168734491315134</v>
      </c>
      <c r="S27" s="451">
        <f t="shared" si="8"/>
        <v>16</v>
      </c>
      <c r="T27" s="221">
        <f t="shared" si="9"/>
        <v>0.19315904139433554</v>
      </c>
      <c r="U27" s="221">
        <f t="shared" si="10"/>
        <v>0.18108660130718957</v>
      </c>
      <c r="V27" s="221">
        <f t="shared" si="11"/>
        <v>0.29589313939083262</v>
      </c>
      <c r="W27" s="201">
        <f t="shared" si="12"/>
        <v>350</v>
      </c>
      <c r="X27" s="451">
        <f t="shared" si="52"/>
        <v>350</v>
      </c>
      <c r="Z27" s="221">
        <f t="shared" si="13"/>
        <v>1.1570365118752215</v>
      </c>
      <c r="AA27" s="177">
        <f t="shared" si="14"/>
        <v>1.7724211272598367</v>
      </c>
      <c r="AB27" s="177">
        <f t="shared" si="15"/>
        <v>0.2871058342122137</v>
      </c>
      <c r="AC27" s="177"/>
      <c r="AD27" s="177">
        <f t="shared" si="16"/>
        <v>0.4595588235294118</v>
      </c>
      <c r="AE27" s="555">
        <f t="shared" si="17"/>
        <v>797.86666666666702</v>
      </c>
      <c r="AF27" s="538">
        <f t="shared" si="18"/>
        <v>1.9301470588235291E-2</v>
      </c>
      <c r="AH27" s="177">
        <f t="shared" si="19"/>
        <v>0.44848952846511048</v>
      </c>
      <c r="AI27" s="177">
        <f t="shared" si="20"/>
        <v>0.44848952846511048</v>
      </c>
      <c r="AJ27" s="177">
        <f t="shared" si="21"/>
        <v>1.3099922433074891</v>
      </c>
      <c r="AL27" s="555">
        <f t="shared" si="22"/>
        <v>44.000000000000007</v>
      </c>
      <c r="AM27" s="469">
        <f t="shared" si="23"/>
        <v>350</v>
      </c>
      <c r="AO27">
        <f t="shared" si="53"/>
        <v>44.000000000000007</v>
      </c>
      <c r="AP27" s="469">
        <f t="shared" si="24"/>
        <v>350</v>
      </c>
      <c r="AQ27" s="469"/>
      <c r="AR27" s="5">
        <f t="shared" si="54"/>
        <v>2.8571428571428572</v>
      </c>
      <c r="AS27" s="5">
        <f t="shared" si="25"/>
        <v>0.42045893293604109</v>
      </c>
      <c r="AT27" s="5">
        <f t="shared" si="55"/>
        <v>2.4366839242068163</v>
      </c>
      <c r="AU27" s="177">
        <f t="shared" si="56"/>
        <v>0.14716062652761439</v>
      </c>
      <c r="AW27" s="5">
        <f t="shared" si="26"/>
        <v>0.80504166666666677</v>
      </c>
      <c r="AX27" s="5">
        <f t="shared" si="27"/>
        <v>0.19434242666666668</v>
      </c>
      <c r="AY27" s="5">
        <f t="shared" si="28"/>
        <v>0.20126041666666669</v>
      </c>
      <c r="AZ27" s="5">
        <f t="shared" si="29"/>
        <v>0.11484366666666668</v>
      </c>
      <c r="BA27" s="5">
        <f t="shared" si="30"/>
        <v>5.5840673263072869E-2</v>
      </c>
      <c r="BB27" s="469">
        <f t="shared" si="31"/>
        <v>9.0445077220916605</v>
      </c>
      <c r="BC27" s="5"/>
      <c r="BD27" s="177">
        <f t="shared" si="57"/>
        <v>9.9331614434843604E-2</v>
      </c>
      <c r="BE27" s="177">
        <f t="shared" si="32"/>
        <v>0.1913001401716356</v>
      </c>
      <c r="BF27" s="177">
        <f t="shared" si="33"/>
        <v>9.5650070085817801E-2</v>
      </c>
      <c r="BG27" s="177"/>
      <c r="BH27" s="538">
        <f t="shared" si="34"/>
        <v>3.45336936918135E-3</v>
      </c>
      <c r="BI27" s="538">
        <f t="shared" si="35"/>
        <v>4.048604671360246E-2</v>
      </c>
      <c r="BJ27" s="538">
        <f t="shared" si="36"/>
        <v>4.3749999999999995E-3</v>
      </c>
      <c r="BK27" s="538">
        <f t="shared" si="37"/>
        <v>4.6565908480000008E-2</v>
      </c>
      <c r="BL27">
        <f t="shared" si="38"/>
        <v>9.2800000000000001E-3</v>
      </c>
      <c r="BM27">
        <f t="shared" si="39"/>
        <v>2.3625000000000002E-5</v>
      </c>
      <c r="BN27">
        <f t="shared" si="40"/>
        <v>0.10471687443322175</v>
      </c>
      <c r="BO27" s="469">
        <f t="shared" si="58"/>
        <v>104.71687443322175</v>
      </c>
      <c r="BP27" s="177">
        <f t="shared" si="41"/>
        <v>3.0787574066540598E-2</v>
      </c>
      <c r="BQ27" s="177">
        <f t="shared" si="42"/>
        <v>1.1898893516635149E-2</v>
      </c>
      <c r="BR27" s="538"/>
      <c r="BT27" s="469">
        <f t="shared" si="59"/>
        <v>42.686467583175748</v>
      </c>
      <c r="BU27" s="538">
        <f t="shared" si="43"/>
        <v>9.8667696262324297E-4</v>
      </c>
      <c r="BV27" s="538">
        <f t="shared" si="60"/>
        <v>1.0978723088906227E-3</v>
      </c>
      <c r="BW27" s="538">
        <f t="shared" si="44"/>
        <v>4.5744679537109285E-4</v>
      </c>
      <c r="BX27" s="538">
        <f t="shared" si="45"/>
        <v>0</v>
      </c>
      <c r="BY27" s="538">
        <f t="shared" si="46"/>
        <v>2.8476146849374835E-3</v>
      </c>
      <c r="BZ27" s="538">
        <f t="shared" si="61"/>
        <v>2.5419960668849589E-3</v>
      </c>
      <c r="CA27" s="641">
        <f t="shared" si="47"/>
        <v>3.5200000000000006E-3</v>
      </c>
      <c r="CB27" s="469">
        <f t="shared" si="62"/>
        <v>6.3676146849374842</v>
      </c>
      <c r="CC27" s="177">
        <f t="shared" si="63"/>
        <v>0.15377095670133498</v>
      </c>
      <c r="CD27" s="5">
        <f t="shared" si="64"/>
        <v>1.056</v>
      </c>
      <c r="CE27" s="177">
        <f t="shared" si="65"/>
        <v>0.87289250427980181</v>
      </c>
      <c r="CF27" s="5">
        <f t="shared" si="66"/>
        <v>87.289250427980178</v>
      </c>
      <c r="CG27">
        <f t="shared" si="67"/>
        <v>22</v>
      </c>
      <c r="CI27" s="571">
        <f t="shared" si="48"/>
        <v>-50</v>
      </c>
      <c r="CJ27">
        <f t="shared" si="49"/>
        <v>-50</v>
      </c>
    </row>
    <row r="28" spans="5:88" x14ac:dyDescent="0.25">
      <c r="E28" s="174">
        <v>23</v>
      </c>
      <c r="F28" s="221">
        <f t="shared" si="68"/>
        <v>4.6000000000000006E-2</v>
      </c>
      <c r="G28" s="221">
        <f t="shared" si="50"/>
        <v>2.3000000000000003E-2</v>
      </c>
      <c r="H28" s="221">
        <f t="shared" si="0"/>
        <v>0.7360000000000001</v>
      </c>
      <c r="I28" s="221">
        <f t="shared" si="69"/>
        <v>0.36800000000000005</v>
      </c>
      <c r="J28" s="551">
        <f t="shared" si="1"/>
        <v>32</v>
      </c>
      <c r="K28" s="451">
        <f t="shared" si="2"/>
        <v>19.584</v>
      </c>
      <c r="L28" s="451">
        <f t="shared" si="3"/>
        <v>51.584000000000003</v>
      </c>
      <c r="M28" s="451"/>
      <c r="N28" s="221">
        <f t="shared" si="4"/>
        <v>0.37965260545905705</v>
      </c>
      <c r="O28" s="176">
        <f t="shared" si="51"/>
        <v>5.4669975186104214</v>
      </c>
      <c r="P28" s="176">
        <f t="shared" si="5"/>
        <v>2.7334987593052107</v>
      </c>
      <c r="Q28" s="221">
        <f t="shared" si="6"/>
        <v>0.34168734491315134</v>
      </c>
      <c r="R28" s="221">
        <f t="shared" si="7"/>
        <v>0.34168734491315134</v>
      </c>
      <c r="S28" s="451">
        <f t="shared" si="8"/>
        <v>16</v>
      </c>
      <c r="T28" s="221">
        <f t="shared" si="9"/>
        <v>0.2019389978213508</v>
      </c>
      <c r="U28" s="221">
        <f t="shared" si="10"/>
        <v>0.18931781045751639</v>
      </c>
      <c r="V28" s="221">
        <f t="shared" si="11"/>
        <v>0.3093428275449614</v>
      </c>
      <c r="W28" s="201">
        <f t="shared" si="12"/>
        <v>350</v>
      </c>
      <c r="X28" s="451">
        <f t="shared" si="52"/>
        <v>350</v>
      </c>
      <c r="Z28" s="221">
        <f t="shared" si="13"/>
        <v>1.1570365118752215</v>
      </c>
      <c r="AA28" s="177">
        <f t="shared" si="14"/>
        <v>1.7724211272598367</v>
      </c>
      <c r="AB28" s="177">
        <f t="shared" si="15"/>
        <v>0.2871058342122137</v>
      </c>
      <c r="AC28" s="177"/>
      <c r="AD28" s="177">
        <f t="shared" si="16"/>
        <v>0.4595588235294118</v>
      </c>
      <c r="AE28" s="555">
        <f t="shared" si="17"/>
        <v>834.13333333333355</v>
      </c>
      <c r="AF28" s="538">
        <f t="shared" si="18"/>
        <v>1.9301470588235291E-2</v>
      </c>
      <c r="AH28" s="177">
        <f t="shared" si="19"/>
        <v>0.45856920337688867</v>
      </c>
      <c r="AI28" s="177">
        <f t="shared" si="20"/>
        <v>0.45856920337688867</v>
      </c>
      <c r="AJ28" s="177">
        <f t="shared" si="21"/>
        <v>1.3174586691680656</v>
      </c>
      <c r="AL28" s="555">
        <f t="shared" si="22"/>
        <v>46.000000000000007</v>
      </c>
      <c r="AM28" s="469">
        <f t="shared" si="23"/>
        <v>350</v>
      </c>
      <c r="AO28">
        <f t="shared" si="53"/>
        <v>46.000000000000007</v>
      </c>
      <c r="AP28" s="469">
        <f t="shared" si="24"/>
        <v>350</v>
      </c>
      <c r="AQ28" s="469"/>
      <c r="AR28" s="5">
        <f t="shared" si="54"/>
        <v>2.8571428571428572</v>
      </c>
      <c r="AS28" s="5">
        <f t="shared" si="25"/>
        <v>0.42990862816583314</v>
      </c>
      <c r="AT28" s="5">
        <f t="shared" si="55"/>
        <v>2.4272342289770239</v>
      </c>
      <c r="AU28" s="177">
        <f t="shared" si="56"/>
        <v>0.15046801985804159</v>
      </c>
      <c r="AW28" s="5">
        <f t="shared" si="26"/>
        <v>0.80504166666666677</v>
      </c>
      <c r="AX28" s="5">
        <f t="shared" si="27"/>
        <v>0.20613872666666669</v>
      </c>
      <c r="AY28" s="5">
        <f t="shared" si="28"/>
        <v>0.20126041666666669</v>
      </c>
      <c r="AZ28" s="5">
        <f t="shared" si="29"/>
        <v>0.12343037121212122</v>
      </c>
      <c r="BA28" s="5">
        <f t="shared" si="30"/>
        <v>5.8152486735907866E-2</v>
      </c>
      <c r="BB28" s="469">
        <f t="shared" si="31"/>
        <v>9.4193978777452596</v>
      </c>
      <c r="BC28" s="5"/>
      <c r="BD28" s="177">
        <f t="shared" si="57"/>
        <v>0.10269903445343796</v>
      </c>
      <c r="BE28" s="177">
        <f t="shared" si="32"/>
        <v>0.19521991114444393</v>
      </c>
      <c r="BF28" s="177">
        <f t="shared" si="33"/>
        <v>9.7609955572221963E-2</v>
      </c>
      <c r="BG28" s="177"/>
      <c r="BH28" s="538">
        <f t="shared" si="34"/>
        <v>3.691482087183953E-3</v>
      </c>
      <c r="BI28" s="538">
        <f t="shared" si="35"/>
        <v>4.1395959127238494E-2</v>
      </c>
      <c r="BJ28" s="538">
        <f t="shared" si="36"/>
        <v>4.3749999999999995E-3</v>
      </c>
      <c r="BK28" s="538">
        <f t="shared" si="37"/>
        <v>4.6565908480000008E-2</v>
      </c>
      <c r="BL28">
        <f t="shared" si="38"/>
        <v>9.2800000000000001E-3</v>
      </c>
      <c r="BM28">
        <f t="shared" si="39"/>
        <v>2.3625000000000002E-5</v>
      </c>
      <c r="BN28">
        <f t="shared" si="40"/>
        <v>0.10590245265397659</v>
      </c>
      <c r="BO28" s="469">
        <f t="shared" si="58"/>
        <v>105.9024526539766</v>
      </c>
      <c r="BP28" s="177">
        <f t="shared" si="41"/>
        <v>3.2130330836167433E-2</v>
      </c>
      <c r="BQ28" s="177">
        <f t="shared" si="42"/>
        <v>1.2425582709041859E-2</v>
      </c>
      <c r="BR28" s="538"/>
      <c r="BT28" s="469">
        <f t="shared" si="59"/>
        <v>44.555913545209293</v>
      </c>
      <c r="BU28" s="538">
        <f t="shared" si="43"/>
        <v>1.0547091677668438E-3</v>
      </c>
      <c r="BV28" s="538">
        <f t="shared" si="60"/>
        <v>1.1433244112173373E-3</v>
      </c>
      <c r="BW28" s="538">
        <f t="shared" si="44"/>
        <v>4.7638517134055732E-4</v>
      </c>
      <c r="BX28" s="538">
        <f t="shared" si="45"/>
        <v>0</v>
      </c>
      <c r="BY28" s="538">
        <f t="shared" si="46"/>
        <v>2.995990002910873E-3</v>
      </c>
      <c r="BZ28" s="538">
        <f t="shared" si="61"/>
        <v>2.6744187503247386E-3</v>
      </c>
      <c r="CA28" s="641">
        <f t="shared" si="47"/>
        <v>3.6800000000000001E-3</v>
      </c>
      <c r="CB28" s="469">
        <f t="shared" si="62"/>
        <v>6.675990002910873</v>
      </c>
      <c r="CC28" s="177">
        <f t="shared" si="63"/>
        <v>0.15713435620209676</v>
      </c>
      <c r="CD28" s="5">
        <f t="shared" si="64"/>
        <v>1.1040000000000001</v>
      </c>
      <c r="CE28" s="177">
        <f t="shared" si="65"/>
        <v>0.87540236658423409</v>
      </c>
      <c r="CF28" s="5">
        <f t="shared" si="66"/>
        <v>87.54023665842341</v>
      </c>
      <c r="CG28">
        <f t="shared" si="67"/>
        <v>23</v>
      </c>
      <c r="CI28" s="571">
        <f t="shared" si="48"/>
        <v>-50</v>
      </c>
      <c r="CJ28">
        <f t="shared" si="49"/>
        <v>-50</v>
      </c>
    </row>
    <row r="29" spans="5:88" x14ac:dyDescent="0.25">
      <c r="E29" s="174">
        <v>24</v>
      </c>
      <c r="F29" s="221">
        <f t="shared" si="68"/>
        <v>4.8000000000000001E-2</v>
      </c>
      <c r="G29" s="221">
        <f t="shared" si="50"/>
        <v>2.4E-2</v>
      </c>
      <c r="H29" s="221">
        <f t="shared" si="0"/>
        <v>0.76800000000000002</v>
      </c>
      <c r="I29" s="221">
        <f t="shared" si="69"/>
        <v>0.38400000000000001</v>
      </c>
      <c r="J29" s="551">
        <f t="shared" si="1"/>
        <v>32</v>
      </c>
      <c r="K29" s="451">
        <f t="shared" si="2"/>
        <v>19.584</v>
      </c>
      <c r="L29" s="451">
        <f t="shared" si="3"/>
        <v>51.584000000000003</v>
      </c>
      <c r="M29" s="451"/>
      <c r="N29" s="221">
        <f t="shared" si="4"/>
        <v>0.37965260545905705</v>
      </c>
      <c r="O29" s="176">
        <f t="shared" si="51"/>
        <v>5.4669975186104214</v>
      </c>
      <c r="P29" s="176">
        <f t="shared" si="5"/>
        <v>2.7334987593052107</v>
      </c>
      <c r="Q29" s="221">
        <f t="shared" si="6"/>
        <v>0.34168734491315134</v>
      </c>
      <c r="R29" s="221">
        <f t="shared" si="7"/>
        <v>0.34168734491315134</v>
      </c>
      <c r="S29" s="451">
        <f t="shared" si="8"/>
        <v>16</v>
      </c>
      <c r="T29" s="221">
        <f t="shared" si="9"/>
        <v>0.21071895424836606</v>
      </c>
      <c r="U29" s="221">
        <f t="shared" si="10"/>
        <v>0.19754901960784318</v>
      </c>
      <c r="V29" s="221">
        <f t="shared" si="11"/>
        <v>0.32279251569909018</v>
      </c>
      <c r="W29" s="201">
        <f t="shared" si="12"/>
        <v>350</v>
      </c>
      <c r="X29" s="451">
        <f t="shared" si="52"/>
        <v>350</v>
      </c>
      <c r="Z29" s="221">
        <f t="shared" si="13"/>
        <v>1.1570365118752215</v>
      </c>
      <c r="AA29" s="177">
        <f t="shared" si="14"/>
        <v>1.7724211272598367</v>
      </c>
      <c r="AB29" s="177">
        <f t="shared" si="15"/>
        <v>0.2871058342122137</v>
      </c>
      <c r="AC29" s="177"/>
      <c r="AD29" s="177">
        <f t="shared" si="16"/>
        <v>0.4595588235294118</v>
      </c>
      <c r="AE29" s="555">
        <f t="shared" si="17"/>
        <v>870.40000000000032</v>
      </c>
      <c r="AF29" s="538">
        <f t="shared" si="18"/>
        <v>1.9301470588235291E-2</v>
      </c>
      <c r="AH29" s="177">
        <f t="shared" si="19"/>
        <v>0.46843203501529596</v>
      </c>
      <c r="AI29" s="177">
        <f t="shared" si="20"/>
        <v>0.46843203501529596</v>
      </c>
      <c r="AJ29" s="177">
        <f t="shared" si="21"/>
        <v>1.3247644703817008</v>
      </c>
      <c r="AL29" s="555">
        <f t="shared" si="22"/>
        <v>48</v>
      </c>
      <c r="AM29" s="469">
        <f t="shared" si="23"/>
        <v>350</v>
      </c>
      <c r="AO29">
        <f t="shared" si="53"/>
        <v>48</v>
      </c>
      <c r="AP29" s="469">
        <f t="shared" si="24"/>
        <v>350</v>
      </c>
      <c r="AQ29" s="469"/>
      <c r="AR29" s="5">
        <f t="shared" si="54"/>
        <v>2.8571428571428572</v>
      </c>
      <c r="AS29" s="5">
        <f t="shared" si="25"/>
        <v>0.43915503282683993</v>
      </c>
      <c r="AT29" s="5">
        <f t="shared" si="55"/>
        <v>2.4179878243160173</v>
      </c>
      <c r="AU29" s="177">
        <f t="shared" si="56"/>
        <v>0.15370426148939398</v>
      </c>
      <c r="AW29" s="5">
        <f t="shared" si="26"/>
        <v>0.80504166666666677</v>
      </c>
      <c r="AX29" s="5">
        <f t="shared" si="27"/>
        <v>0.21819263999999999</v>
      </c>
      <c r="AY29" s="5">
        <f t="shared" si="28"/>
        <v>0.20126041666666669</v>
      </c>
      <c r="AZ29" s="5">
        <f t="shared" si="29"/>
        <v>0.13230981818181814</v>
      </c>
      <c r="BA29" s="5">
        <f t="shared" si="30"/>
        <v>6.0449695607900436E-2</v>
      </c>
      <c r="BB29" s="469">
        <f t="shared" si="31"/>
        <v>9.7919512972640685</v>
      </c>
      <c r="BC29" s="5"/>
      <c r="BD29" s="177">
        <f t="shared" si="57"/>
        <v>0.10603003744395785</v>
      </c>
      <c r="BE29" s="177">
        <f t="shared" si="32"/>
        <v>0.19903846993381361</v>
      </c>
      <c r="BF29" s="177">
        <f t="shared" si="33"/>
        <v>9.9519234966906803E-2</v>
      </c>
      <c r="BG29" s="177"/>
      <c r="BH29" s="538">
        <f t="shared" si="34"/>
        <v>3.9348290941284862E-3</v>
      </c>
      <c r="BI29" s="538">
        <f t="shared" si="35"/>
        <v>4.2286296664900802E-2</v>
      </c>
      <c r="BJ29" s="538">
        <f t="shared" si="36"/>
        <v>4.3749999999999995E-3</v>
      </c>
      <c r="BK29" s="538">
        <f t="shared" si="37"/>
        <v>4.6565908480000008E-2</v>
      </c>
      <c r="BL29">
        <f t="shared" si="38"/>
        <v>9.2800000000000001E-3</v>
      </c>
      <c r="BM29">
        <f t="shared" si="39"/>
        <v>2.3625000000000002E-5</v>
      </c>
      <c r="BN29">
        <f t="shared" si="40"/>
        <v>0.10707459474929369</v>
      </c>
      <c r="BO29" s="469">
        <f t="shared" si="58"/>
        <v>107.07459474929369</v>
      </c>
      <c r="BP29" s="177">
        <f t="shared" si="41"/>
        <v>3.3469431380192767E-2</v>
      </c>
      <c r="BQ29" s="177">
        <f t="shared" si="42"/>
        <v>1.2951357845048191E-2</v>
      </c>
      <c r="BR29" s="538"/>
      <c r="BT29" s="469">
        <f t="shared" si="59"/>
        <v>46.420789225240952</v>
      </c>
      <c r="BU29" s="538">
        <f t="shared" si="43"/>
        <v>1.1242368840367104E-3</v>
      </c>
      <c r="BV29" s="538">
        <f t="shared" si="60"/>
        <v>1.1884893754078086E-3</v>
      </c>
      <c r="BW29" s="538">
        <f t="shared" si="44"/>
        <v>4.9520390641992029E-4</v>
      </c>
      <c r="BX29" s="538">
        <f t="shared" si="45"/>
        <v>0</v>
      </c>
      <c r="BY29" s="538">
        <f t="shared" si="46"/>
        <v>3.1455883931712589E-3</v>
      </c>
      <c r="BZ29" s="538">
        <f t="shared" si="61"/>
        <v>2.8079301658644395E-3</v>
      </c>
      <c r="CA29" s="641">
        <f t="shared" si="47"/>
        <v>3.8400000000000005E-3</v>
      </c>
      <c r="CB29" s="469">
        <f t="shared" si="62"/>
        <v>6.9855883931712599</v>
      </c>
      <c r="CC29" s="177">
        <f t="shared" si="63"/>
        <v>0.16048097236770592</v>
      </c>
      <c r="CD29" s="5">
        <f t="shared" si="64"/>
        <v>1.1520000000000001</v>
      </c>
      <c r="CE29" s="177">
        <f t="shared" si="65"/>
        <v>0.87772701033661515</v>
      </c>
      <c r="CF29" s="5">
        <f t="shared" si="66"/>
        <v>87.772701033661519</v>
      </c>
      <c r="CG29">
        <f t="shared" si="67"/>
        <v>24</v>
      </c>
      <c r="CI29" s="571">
        <f t="shared" si="48"/>
        <v>-50</v>
      </c>
      <c r="CJ29">
        <f t="shared" si="49"/>
        <v>-50</v>
      </c>
    </row>
    <row r="30" spans="5:88" x14ac:dyDescent="0.25">
      <c r="E30" s="174">
        <v>25</v>
      </c>
      <c r="F30" s="221">
        <f t="shared" si="68"/>
        <v>0.05</v>
      </c>
      <c r="G30" s="221">
        <f t="shared" si="50"/>
        <v>2.5000000000000001E-2</v>
      </c>
      <c r="H30" s="221">
        <f t="shared" si="0"/>
        <v>0.8</v>
      </c>
      <c r="I30" s="221">
        <f t="shared" si="69"/>
        <v>0.4</v>
      </c>
      <c r="J30" s="551">
        <f t="shared" si="1"/>
        <v>32</v>
      </c>
      <c r="K30" s="451">
        <f t="shared" si="2"/>
        <v>19.584</v>
      </c>
      <c r="L30" s="451">
        <f t="shared" si="3"/>
        <v>51.584000000000003</v>
      </c>
      <c r="M30" s="451"/>
      <c r="N30" s="221">
        <f t="shared" si="4"/>
        <v>0.37965260545905705</v>
      </c>
      <c r="O30" s="176">
        <f t="shared" si="51"/>
        <v>5.4669975186104214</v>
      </c>
      <c r="P30" s="176">
        <f t="shared" si="5"/>
        <v>2.7334987593052107</v>
      </c>
      <c r="Q30" s="221">
        <f t="shared" si="6"/>
        <v>0.34168734491315134</v>
      </c>
      <c r="R30" s="221">
        <f t="shared" si="7"/>
        <v>0.34168734491315134</v>
      </c>
      <c r="S30" s="451">
        <f t="shared" si="8"/>
        <v>16</v>
      </c>
      <c r="T30" s="221">
        <f t="shared" si="9"/>
        <v>0.21949891067538133</v>
      </c>
      <c r="U30" s="221">
        <f t="shared" si="10"/>
        <v>0.20578022875816998</v>
      </c>
      <c r="V30" s="221">
        <f t="shared" si="11"/>
        <v>0.33624220385321896</v>
      </c>
      <c r="W30" s="201">
        <f t="shared" si="12"/>
        <v>350</v>
      </c>
      <c r="X30" s="451">
        <f t="shared" si="52"/>
        <v>350</v>
      </c>
      <c r="Z30" s="221">
        <f t="shared" si="13"/>
        <v>1.1570365118752215</v>
      </c>
      <c r="AA30" s="177">
        <f t="shared" si="14"/>
        <v>1.7724211272598367</v>
      </c>
      <c r="AB30" s="177">
        <f t="shared" si="15"/>
        <v>0.2871058342122137</v>
      </c>
      <c r="AC30" s="177"/>
      <c r="AD30" s="177">
        <f t="shared" si="16"/>
        <v>0.4595588235294118</v>
      </c>
      <c r="AE30" s="555">
        <f t="shared" si="17"/>
        <v>906.66666666666686</v>
      </c>
      <c r="AF30" s="538">
        <f t="shared" si="18"/>
        <v>1.9301470588235291E-2</v>
      </c>
      <c r="AH30" s="177">
        <f t="shared" si="19"/>
        <v>0.4780914437337575</v>
      </c>
      <c r="AI30" s="177">
        <f t="shared" si="20"/>
        <v>0.4780914437337575</v>
      </c>
      <c r="AJ30" s="177">
        <f t="shared" si="21"/>
        <v>1.3319195879509313</v>
      </c>
      <c r="AL30" s="555">
        <f t="shared" si="22"/>
        <v>50</v>
      </c>
      <c r="AM30" s="469">
        <f t="shared" si="23"/>
        <v>350</v>
      </c>
      <c r="AO30">
        <f t="shared" si="53"/>
        <v>50</v>
      </c>
      <c r="AP30" s="469">
        <f t="shared" si="24"/>
        <v>350</v>
      </c>
      <c r="AQ30" s="469"/>
      <c r="AR30" s="5">
        <f t="shared" si="54"/>
        <v>2.8571428571428572</v>
      </c>
      <c r="AS30" s="5">
        <f t="shared" si="25"/>
        <v>0.44821072850039767</v>
      </c>
      <c r="AT30" s="5">
        <f t="shared" si="55"/>
        <v>2.4089321286424594</v>
      </c>
      <c r="AU30" s="177">
        <f t="shared" si="56"/>
        <v>0.15687375497513917</v>
      </c>
      <c r="AW30" s="5">
        <f t="shared" si="26"/>
        <v>0.80504166666666677</v>
      </c>
      <c r="AX30" s="5">
        <f t="shared" si="27"/>
        <v>0.23050416666666668</v>
      </c>
      <c r="AY30" s="5">
        <f t="shared" si="28"/>
        <v>0.20126041666666669</v>
      </c>
      <c r="AZ30" s="5">
        <f t="shared" si="29"/>
        <v>0.14148200757575757</v>
      </c>
      <c r="BA30" s="5">
        <f t="shared" si="30"/>
        <v>6.273260751673071E-2</v>
      </c>
      <c r="BB30" s="469">
        <f t="shared" si="31"/>
        <v>10.162217202676915</v>
      </c>
      <c r="BC30" s="5"/>
      <c r="BD30" s="177">
        <f t="shared" si="57"/>
        <v>0.10932651139290936</v>
      </c>
      <c r="BE30" s="177">
        <f t="shared" si="32"/>
        <v>0.20276203210207933</v>
      </c>
      <c r="BF30" s="177">
        <f t="shared" si="33"/>
        <v>0.10138101605103966</v>
      </c>
      <c r="BG30" s="177"/>
      <c r="BH30" s="538">
        <f t="shared" si="34"/>
        <v>4.1833001326703782E-3</v>
      </c>
      <c r="BI30" s="538">
        <f t="shared" si="35"/>
        <v>4.3158270808733759E-2</v>
      </c>
      <c r="BJ30" s="538">
        <f t="shared" si="36"/>
        <v>4.3749999999999995E-3</v>
      </c>
      <c r="BK30" s="538">
        <f t="shared" si="37"/>
        <v>4.6565908480000008E-2</v>
      </c>
      <c r="BL30">
        <f t="shared" si="38"/>
        <v>9.2800000000000001E-3</v>
      </c>
      <c r="BM30">
        <f t="shared" si="39"/>
        <v>2.3625000000000002E-5</v>
      </c>
      <c r="BN30">
        <f t="shared" si="40"/>
        <v>0.10823438728228663</v>
      </c>
      <c r="BO30" s="469">
        <f t="shared" si="58"/>
        <v>108.23438728228663</v>
      </c>
      <c r="BP30" s="177">
        <f t="shared" si="41"/>
        <v>3.48049527149469E-2</v>
      </c>
      <c r="BQ30" s="177">
        <f t="shared" si="42"/>
        <v>1.3476238178736727E-2</v>
      </c>
      <c r="BR30" s="538"/>
      <c r="BT30" s="469">
        <f t="shared" si="59"/>
        <v>48.281190893683629</v>
      </c>
      <c r="BU30" s="538">
        <f t="shared" si="43"/>
        <v>1.1952286093343941E-3</v>
      </c>
      <c r="BV30" s="538">
        <f t="shared" si="60"/>
        <v>1.2333732498649394E-3</v>
      </c>
      <c r="BW30" s="538">
        <f t="shared" si="44"/>
        <v>5.1390552077705814E-4</v>
      </c>
      <c r="BX30" s="538">
        <f t="shared" si="45"/>
        <v>0</v>
      </c>
      <c r="BY30" s="538">
        <f t="shared" si="46"/>
        <v>3.2963842363689789E-3</v>
      </c>
      <c r="BZ30" s="538">
        <f t="shared" si="61"/>
        <v>2.9425073799763915E-3</v>
      </c>
      <c r="CA30" s="641">
        <f t="shared" si="47"/>
        <v>4.0000000000000018E-3</v>
      </c>
      <c r="CB30" s="469">
        <f t="shared" si="62"/>
        <v>7.296384236368981</v>
      </c>
      <c r="CC30" s="177">
        <f t="shared" si="63"/>
        <v>0.16381196241233922</v>
      </c>
      <c r="CD30" s="5">
        <f t="shared" si="64"/>
        <v>1.2000000000000002</v>
      </c>
      <c r="CE30" s="177">
        <f t="shared" si="65"/>
        <v>0.87988669484715087</v>
      </c>
      <c r="CF30" s="5">
        <f t="shared" si="66"/>
        <v>87.988669484715089</v>
      </c>
      <c r="CG30">
        <f t="shared" si="67"/>
        <v>25</v>
      </c>
      <c r="CI30" s="571">
        <f t="shared" si="48"/>
        <v>-50</v>
      </c>
      <c r="CJ30">
        <f t="shared" si="49"/>
        <v>-50</v>
      </c>
    </row>
    <row r="31" spans="5:88" x14ac:dyDescent="0.25">
      <c r="E31" s="174">
        <v>26</v>
      </c>
      <c r="F31" s="221">
        <f t="shared" si="68"/>
        <v>5.2000000000000005E-2</v>
      </c>
      <c r="G31" s="221">
        <f t="shared" si="50"/>
        <v>2.6000000000000002E-2</v>
      </c>
      <c r="H31" s="221">
        <f t="shared" si="0"/>
        <v>0.83200000000000007</v>
      </c>
      <c r="I31" s="221">
        <f t="shared" si="69"/>
        <v>0.41600000000000004</v>
      </c>
      <c r="J31" s="551">
        <f t="shared" si="1"/>
        <v>32</v>
      </c>
      <c r="K31" s="451">
        <f t="shared" si="2"/>
        <v>19.584</v>
      </c>
      <c r="L31" s="451">
        <f t="shared" si="3"/>
        <v>51.584000000000003</v>
      </c>
      <c r="M31" s="451"/>
      <c r="N31" s="221">
        <f t="shared" si="4"/>
        <v>0.37965260545905705</v>
      </c>
      <c r="O31" s="176">
        <f t="shared" si="51"/>
        <v>5.4669975186104214</v>
      </c>
      <c r="P31" s="176">
        <f t="shared" si="5"/>
        <v>2.7334987593052107</v>
      </c>
      <c r="Q31" s="221">
        <f t="shared" si="6"/>
        <v>0.34168734491315134</v>
      </c>
      <c r="R31" s="221">
        <f t="shared" si="7"/>
        <v>0.34168734491315134</v>
      </c>
      <c r="S31" s="451">
        <f t="shared" si="8"/>
        <v>16</v>
      </c>
      <c r="T31" s="221">
        <f t="shared" si="9"/>
        <v>0.22827886710239656</v>
      </c>
      <c r="U31" s="221">
        <f t="shared" si="10"/>
        <v>0.21401143790849678</v>
      </c>
      <c r="V31" s="221">
        <f t="shared" si="11"/>
        <v>0.34969189200734768</v>
      </c>
      <c r="W31" s="201">
        <f t="shared" si="12"/>
        <v>350</v>
      </c>
      <c r="X31" s="451">
        <f t="shared" si="52"/>
        <v>350</v>
      </c>
      <c r="Z31" s="221">
        <f t="shared" si="13"/>
        <v>1.1570365118752215</v>
      </c>
      <c r="AA31" s="177">
        <f t="shared" si="14"/>
        <v>1.7724211272598367</v>
      </c>
      <c r="AB31" s="177">
        <f t="shared" si="15"/>
        <v>0.2871058342122137</v>
      </c>
      <c r="AC31" s="177"/>
      <c r="AD31" s="177">
        <f t="shared" si="16"/>
        <v>0.4595588235294118</v>
      </c>
      <c r="AE31" s="555">
        <f t="shared" si="17"/>
        <v>942.93333333333362</v>
      </c>
      <c r="AF31" s="538">
        <f t="shared" si="18"/>
        <v>1.9301470588235291E-2</v>
      </c>
      <c r="AH31" s="177">
        <f t="shared" si="19"/>
        <v>0.48755952017603532</v>
      </c>
      <c r="AI31" s="177">
        <f t="shared" si="20"/>
        <v>0.48755952017603532</v>
      </c>
      <c r="AJ31" s="177">
        <f t="shared" si="21"/>
        <v>1.3389329779081742</v>
      </c>
      <c r="AL31" s="555">
        <f t="shared" si="22"/>
        <v>52.000000000000007</v>
      </c>
      <c r="AM31" s="469">
        <f t="shared" si="23"/>
        <v>350</v>
      </c>
      <c r="AO31">
        <f t="shared" si="53"/>
        <v>52.000000000000007</v>
      </c>
      <c r="AP31" s="469">
        <f t="shared" si="24"/>
        <v>350</v>
      </c>
      <c r="AQ31" s="469"/>
      <c r="AR31" s="5">
        <f t="shared" si="54"/>
        <v>2.8571428571428572</v>
      </c>
      <c r="AS31" s="5">
        <f t="shared" si="25"/>
        <v>0.45708705016503309</v>
      </c>
      <c r="AT31" s="5">
        <f t="shared" si="55"/>
        <v>2.4000558069778242</v>
      </c>
      <c r="AU31" s="177">
        <f t="shared" si="56"/>
        <v>0.15998046755776157</v>
      </c>
      <c r="AW31" s="5">
        <f t="shared" si="26"/>
        <v>0.80504166666666677</v>
      </c>
      <c r="AX31" s="5">
        <f t="shared" si="27"/>
        <v>0.24307330666666671</v>
      </c>
      <c r="AY31" s="5">
        <f t="shared" si="28"/>
        <v>0.20126041666666669</v>
      </c>
      <c r="AZ31" s="5">
        <f t="shared" si="29"/>
        <v>0.15094693939393938</v>
      </c>
      <c r="BA31" s="5">
        <f t="shared" si="30"/>
        <v>6.5001511438982751E-2</v>
      </c>
      <c r="BB31" s="469">
        <f t="shared" si="31"/>
        <v>10.530241830237241</v>
      </c>
      <c r="BC31" s="5"/>
      <c r="BD31" s="177">
        <f t="shared" si="57"/>
        <v>0.11259017508014152</v>
      </c>
      <c r="BE31" s="177">
        <f t="shared" si="32"/>
        <v>0.20639619797043676</v>
      </c>
      <c r="BF31" s="177">
        <f t="shared" si="33"/>
        <v>0.10319809898521838</v>
      </c>
      <c r="BG31" s="177"/>
      <c r="BH31" s="538">
        <f t="shared" si="34"/>
        <v>4.4367916336019216E-3</v>
      </c>
      <c r="BI31" s="538">
        <f t="shared" si="35"/>
        <v>4.4012973005331066E-2</v>
      </c>
      <c r="BJ31" s="538">
        <f t="shared" si="36"/>
        <v>4.3749999999999995E-3</v>
      </c>
      <c r="BK31" s="538">
        <f t="shared" si="37"/>
        <v>4.6565908480000008E-2</v>
      </c>
      <c r="BL31">
        <f t="shared" si="38"/>
        <v>9.2800000000000001E-3</v>
      </c>
      <c r="BM31">
        <f t="shared" si="39"/>
        <v>2.3625000000000002E-5</v>
      </c>
      <c r="BN31">
        <f t="shared" si="40"/>
        <v>0.10938280444676485</v>
      </c>
      <c r="BO31" s="469">
        <f t="shared" si="58"/>
        <v>109.38280444676485</v>
      </c>
      <c r="BP31" s="177">
        <f t="shared" si="41"/>
        <v>3.6136967185000958E-2</v>
      </c>
      <c r="BQ31" s="177">
        <f t="shared" si="42"/>
        <v>1.4000241796250239E-2</v>
      </c>
      <c r="BR31" s="538"/>
      <c r="BT31" s="469">
        <f t="shared" si="59"/>
        <v>50.137208981251192</v>
      </c>
      <c r="BU31" s="538">
        <f t="shared" si="43"/>
        <v>1.2676547524576921E-3</v>
      </c>
      <c r="BV31" s="538">
        <f t="shared" si="60"/>
        <v>1.2779817160995517E-3</v>
      </c>
      <c r="BW31" s="538">
        <f t="shared" si="44"/>
        <v>5.3249238170814661E-4</v>
      </c>
      <c r="BX31" s="538">
        <f t="shared" si="45"/>
        <v>0</v>
      </c>
      <c r="BY31" s="538">
        <f t="shared" si="46"/>
        <v>3.4483534704014903E-3</v>
      </c>
      <c r="BZ31" s="538">
        <f t="shared" si="61"/>
        <v>3.0781288502653905E-3</v>
      </c>
      <c r="CA31" s="641">
        <f t="shared" si="47"/>
        <v>4.1600000000000014E-3</v>
      </c>
      <c r="CB31" s="469">
        <f t="shared" si="62"/>
        <v>7.6083534704014921</v>
      </c>
      <c r="CC31" s="177">
        <f t="shared" si="63"/>
        <v>0.16712836689841751</v>
      </c>
      <c r="CD31" s="5">
        <f t="shared" si="64"/>
        <v>1.2480000000000002</v>
      </c>
      <c r="CE31" s="177">
        <f t="shared" si="65"/>
        <v>0.88189879391314996</v>
      </c>
      <c r="CF31" s="5">
        <f t="shared" si="66"/>
        <v>88.189879391315003</v>
      </c>
      <c r="CG31">
        <f t="shared" si="67"/>
        <v>26</v>
      </c>
      <c r="CI31" s="571">
        <f t="shared" si="48"/>
        <v>-50</v>
      </c>
      <c r="CJ31">
        <f t="shared" si="49"/>
        <v>-50</v>
      </c>
    </row>
    <row r="32" spans="5:88" x14ac:dyDescent="0.25">
      <c r="E32" s="174">
        <v>27</v>
      </c>
      <c r="F32" s="221">
        <f t="shared" si="68"/>
        <v>5.4000000000000006E-2</v>
      </c>
      <c r="G32" s="221">
        <f t="shared" si="50"/>
        <v>2.7000000000000003E-2</v>
      </c>
      <c r="H32" s="221">
        <f t="shared" si="0"/>
        <v>0.8640000000000001</v>
      </c>
      <c r="I32" s="221">
        <f t="shared" si="69"/>
        <v>0.43200000000000005</v>
      </c>
      <c r="J32" s="551">
        <f t="shared" si="1"/>
        <v>32</v>
      </c>
      <c r="K32" s="451">
        <f t="shared" si="2"/>
        <v>19.584</v>
      </c>
      <c r="L32" s="451">
        <f t="shared" si="3"/>
        <v>51.584000000000003</v>
      </c>
      <c r="M32" s="451"/>
      <c r="N32" s="221">
        <f t="shared" si="4"/>
        <v>0.37965260545905705</v>
      </c>
      <c r="O32" s="176">
        <f t="shared" si="51"/>
        <v>5.4669975186104214</v>
      </c>
      <c r="P32" s="176">
        <f t="shared" si="5"/>
        <v>2.7334987593052107</v>
      </c>
      <c r="Q32" s="221">
        <f t="shared" si="6"/>
        <v>0.34168734491315134</v>
      </c>
      <c r="R32" s="221">
        <f t="shared" si="7"/>
        <v>0.34168734491315134</v>
      </c>
      <c r="S32" s="451">
        <f t="shared" si="8"/>
        <v>16</v>
      </c>
      <c r="T32" s="221">
        <f t="shared" si="9"/>
        <v>0.23705882352941182</v>
      </c>
      <c r="U32" s="221">
        <f t="shared" si="10"/>
        <v>0.22224264705882357</v>
      </c>
      <c r="V32" s="221">
        <f t="shared" si="11"/>
        <v>0.36314158016147641</v>
      </c>
      <c r="W32" s="201">
        <f t="shared" si="12"/>
        <v>350</v>
      </c>
      <c r="X32" s="451">
        <f t="shared" si="52"/>
        <v>350</v>
      </c>
      <c r="Z32" s="221">
        <f t="shared" si="13"/>
        <v>1.1570365118752215</v>
      </c>
      <c r="AA32" s="177">
        <f t="shared" si="14"/>
        <v>1.7724211272598367</v>
      </c>
      <c r="AB32" s="177">
        <f t="shared" si="15"/>
        <v>0.2871058342122137</v>
      </c>
      <c r="AC32" s="177"/>
      <c r="AD32" s="177">
        <f t="shared" si="16"/>
        <v>0.4595588235294118</v>
      </c>
      <c r="AE32" s="555">
        <f t="shared" si="17"/>
        <v>979.20000000000027</v>
      </c>
      <c r="AF32" s="538">
        <f t="shared" si="18"/>
        <v>1.9301470588235291E-2</v>
      </c>
      <c r="AH32" s="177">
        <f t="shared" si="19"/>
        <v>0.49684720272649507</v>
      </c>
      <c r="AI32" s="177">
        <f t="shared" si="20"/>
        <v>0.49684720272649507</v>
      </c>
      <c r="AJ32" s="177">
        <f t="shared" si="21"/>
        <v>1.3458127427603666</v>
      </c>
      <c r="AL32" s="555">
        <f t="shared" si="22"/>
        <v>54.000000000000007</v>
      </c>
      <c r="AM32" s="469">
        <f t="shared" si="23"/>
        <v>350</v>
      </c>
      <c r="AO32">
        <f t="shared" si="53"/>
        <v>54.000000000000007</v>
      </c>
      <c r="AP32" s="469">
        <f t="shared" si="24"/>
        <v>350</v>
      </c>
      <c r="AQ32" s="469"/>
      <c r="AR32" s="5">
        <f t="shared" si="54"/>
        <v>2.8571428571428572</v>
      </c>
      <c r="AS32" s="5">
        <f t="shared" si="25"/>
        <v>0.46579425255608914</v>
      </c>
      <c r="AT32" s="5">
        <f t="shared" si="55"/>
        <v>2.391348604586768</v>
      </c>
      <c r="AU32" s="177">
        <f t="shared" si="56"/>
        <v>0.1630279883946312</v>
      </c>
      <c r="AW32" s="5">
        <f t="shared" si="26"/>
        <v>0.80504166666666677</v>
      </c>
      <c r="AX32" s="5">
        <f t="shared" si="27"/>
        <v>0.25590006000000004</v>
      </c>
      <c r="AY32" s="5">
        <f t="shared" si="28"/>
        <v>0.20126041666666669</v>
      </c>
      <c r="AZ32" s="5">
        <f t="shared" si="29"/>
        <v>0.16070461363636362</v>
      </c>
      <c r="BA32" s="5">
        <f t="shared" si="30"/>
        <v>6.7256679504002853E-2</v>
      </c>
      <c r="BB32" s="469">
        <f t="shared" si="31"/>
        <v>10.896068720640457</v>
      </c>
      <c r="BC32" s="5"/>
      <c r="BD32" s="177">
        <f t="shared" si="57"/>
        <v>0.11582259914893712</v>
      </c>
      <c r="BE32" s="177">
        <f t="shared" si="32"/>
        <v>0.2099460346844953</v>
      </c>
      <c r="BF32" s="177">
        <f t="shared" si="33"/>
        <v>0.10497301734224765</v>
      </c>
      <c r="BG32" s="177"/>
      <c r="BH32" s="538">
        <f t="shared" si="34"/>
        <v>4.6952060657653796E-3</v>
      </c>
      <c r="BI32" s="538">
        <f t="shared" si="35"/>
        <v>4.485139068452617E-2</v>
      </c>
      <c r="BJ32" s="538">
        <f t="shared" si="36"/>
        <v>4.3749999999999995E-3</v>
      </c>
      <c r="BK32" s="538">
        <f t="shared" si="37"/>
        <v>4.6565908480000008E-2</v>
      </c>
      <c r="BL32">
        <f t="shared" si="38"/>
        <v>9.2800000000000001E-3</v>
      </c>
      <c r="BM32">
        <f t="shared" si="39"/>
        <v>2.3625000000000002E-5</v>
      </c>
      <c r="BN32">
        <f t="shared" si="40"/>
        <v>0.11052072334094985</v>
      </c>
      <c r="BO32" s="469">
        <f t="shared" si="58"/>
        <v>110.52072334094986</v>
      </c>
      <c r="BP32" s="177">
        <f t="shared" si="41"/>
        <v>3.7465542917261951E-2</v>
      </c>
      <c r="BQ32" s="177">
        <f t="shared" si="42"/>
        <v>1.4523385729315488E-2</v>
      </c>
      <c r="BR32" s="538"/>
      <c r="BT32" s="469">
        <f t="shared" si="59"/>
        <v>51.988928646577442</v>
      </c>
      <c r="BU32" s="538">
        <f t="shared" si="43"/>
        <v>1.3414874473615373E-3</v>
      </c>
      <c r="BV32" s="538">
        <f t="shared" si="60"/>
        <v>1.3223201243922991E-3</v>
      </c>
      <c r="BW32" s="538">
        <f t="shared" si="44"/>
        <v>5.5096671849679132E-4</v>
      </c>
      <c r="BX32" s="538">
        <f t="shared" si="45"/>
        <v>0</v>
      </c>
      <c r="BY32" s="538">
        <f t="shared" si="46"/>
        <v>3.601473439018205E-3</v>
      </c>
      <c r="BZ32" s="538">
        <f t="shared" si="61"/>
        <v>3.2147742902506275E-3</v>
      </c>
      <c r="CA32" s="641">
        <f t="shared" si="47"/>
        <v>4.3200000000000009E-3</v>
      </c>
      <c r="CB32" s="469">
        <f t="shared" si="62"/>
        <v>7.9214734390182056</v>
      </c>
      <c r="CC32" s="177">
        <f t="shared" si="63"/>
        <v>0.17043112542654551</v>
      </c>
      <c r="CD32" s="5">
        <f t="shared" si="64"/>
        <v>1.2960000000000003</v>
      </c>
      <c r="CE32" s="177">
        <f t="shared" si="65"/>
        <v>0.88377829516065975</v>
      </c>
      <c r="CF32" s="5">
        <f t="shared" si="66"/>
        <v>88.377829516065972</v>
      </c>
      <c r="CG32">
        <f t="shared" si="67"/>
        <v>27</v>
      </c>
      <c r="CI32" s="571">
        <f t="shared" si="48"/>
        <v>-50</v>
      </c>
      <c r="CJ32">
        <f t="shared" si="49"/>
        <v>-50</v>
      </c>
    </row>
    <row r="33" spans="5:88" x14ac:dyDescent="0.25">
      <c r="E33" s="174">
        <v>28</v>
      </c>
      <c r="F33" s="221">
        <f t="shared" si="68"/>
        <v>5.6000000000000008E-2</v>
      </c>
      <c r="G33" s="221">
        <f t="shared" si="50"/>
        <v>2.8000000000000004E-2</v>
      </c>
      <c r="H33" s="221">
        <f t="shared" si="0"/>
        <v>0.89600000000000013</v>
      </c>
      <c r="I33" s="221">
        <f t="shared" si="69"/>
        <v>0.44800000000000006</v>
      </c>
      <c r="J33" s="551">
        <f t="shared" si="1"/>
        <v>32</v>
      </c>
      <c r="K33" s="451">
        <f t="shared" si="2"/>
        <v>19.584</v>
      </c>
      <c r="L33" s="451">
        <f t="shared" si="3"/>
        <v>51.584000000000003</v>
      </c>
      <c r="M33" s="451"/>
      <c r="N33" s="221">
        <f t="shared" si="4"/>
        <v>0.37965260545905705</v>
      </c>
      <c r="O33" s="176">
        <f t="shared" si="51"/>
        <v>5.4669975186104214</v>
      </c>
      <c r="P33" s="176">
        <f t="shared" si="5"/>
        <v>2.7334987593052107</v>
      </c>
      <c r="Q33" s="221">
        <f t="shared" si="6"/>
        <v>0.34168734491315134</v>
      </c>
      <c r="R33" s="221">
        <f t="shared" si="7"/>
        <v>0.34168734491315134</v>
      </c>
      <c r="S33" s="451">
        <f t="shared" si="8"/>
        <v>16</v>
      </c>
      <c r="T33" s="221">
        <f t="shared" si="9"/>
        <v>0.24583877995642708</v>
      </c>
      <c r="U33" s="221">
        <f t="shared" si="10"/>
        <v>0.2304738562091504</v>
      </c>
      <c r="V33" s="221">
        <f t="shared" si="11"/>
        <v>0.37659126831560524</v>
      </c>
      <c r="W33" s="201">
        <f t="shared" si="12"/>
        <v>350</v>
      </c>
      <c r="X33" s="451">
        <f t="shared" si="52"/>
        <v>350</v>
      </c>
      <c r="Z33" s="221">
        <f t="shared" si="13"/>
        <v>1.1570365118752215</v>
      </c>
      <c r="AA33" s="177">
        <f t="shared" si="14"/>
        <v>1.7724211272598367</v>
      </c>
      <c r="AB33" s="177">
        <f t="shared" si="15"/>
        <v>0.2871058342122137</v>
      </c>
      <c r="AC33" s="177"/>
      <c r="AD33" s="177">
        <f t="shared" si="16"/>
        <v>0.4595588235294118</v>
      </c>
      <c r="AE33" s="555">
        <f t="shared" si="17"/>
        <v>1015.466666666667</v>
      </c>
      <c r="AF33" s="538">
        <f t="shared" si="18"/>
        <v>1.9301470588235291E-2</v>
      </c>
      <c r="AH33" s="177">
        <f t="shared" si="19"/>
        <v>0.50596442562694077</v>
      </c>
      <c r="AI33" s="177">
        <f t="shared" si="20"/>
        <v>0.50596442562694077</v>
      </c>
      <c r="AJ33" s="177">
        <f t="shared" si="21"/>
        <v>1.3525662412051414</v>
      </c>
      <c r="AL33" s="555">
        <f t="shared" si="22"/>
        <v>56.000000000000007</v>
      </c>
      <c r="AM33" s="469">
        <f t="shared" si="23"/>
        <v>350</v>
      </c>
      <c r="AO33">
        <f t="shared" si="53"/>
        <v>56.000000000000007</v>
      </c>
      <c r="AP33" s="469">
        <f t="shared" si="24"/>
        <v>350</v>
      </c>
      <c r="AQ33" s="469"/>
      <c r="AR33" s="5">
        <f t="shared" si="54"/>
        <v>2.8571428571428572</v>
      </c>
      <c r="AS33" s="5">
        <f t="shared" si="25"/>
        <v>0.474341649025257</v>
      </c>
      <c r="AT33" s="5">
        <f t="shared" si="55"/>
        <v>2.3828012081176002</v>
      </c>
      <c r="AU33" s="177">
        <f t="shared" si="56"/>
        <v>0.16601957715883994</v>
      </c>
      <c r="AW33" s="5">
        <f t="shared" si="26"/>
        <v>0.80504166666666677</v>
      </c>
      <c r="AX33" s="5">
        <f t="shared" si="27"/>
        <v>0.26898442666666667</v>
      </c>
      <c r="AY33" s="5">
        <f t="shared" si="28"/>
        <v>0.20126041666666669</v>
      </c>
      <c r="AZ33" s="5">
        <f t="shared" si="29"/>
        <v>0.1707550303030303</v>
      </c>
      <c r="BA33" s="5">
        <f t="shared" si="30"/>
        <v>6.9498368570096683E-2</v>
      </c>
      <c r="BB33" s="469">
        <f t="shared" si="31"/>
        <v>11.259738971215469</v>
      </c>
      <c r="BC33" s="5"/>
      <c r="BD33" s="177">
        <f t="shared" si="57"/>
        <v>0.11902522387105324</v>
      </c>
      <c r="BE33" s="177">
        <f t="shared" si="32"/>
        <v>0.21341614471754136</v>
      </c>
      <c r="BF33" s="177">
        <f t="shared" si="33"/>
        <v>0.10670807235877068</v>
      </c>
      <c r="BG33" s="177"/>
      <c r="BH33" s="538">
        <f t="shared" si="34"/>
        <v>4.9584513711440192E-3</v>
      </c>
      <c r="BI33" s="538">
        <f t="shared" si="35"/>
        <v>4.5674420630195195E-2</v>
      </c>
      <c r="BJ33" s="538">
        <f t="shared" si="36"/>
        <v>4.3749999999999995E-3</v>
      </c>
      <c r="BK33" s="538">
        <f t="shared" si="37"/>
        <v>4.6565908480000008E-2</v>
      </c>
      <c r="BL33">
        <f t="shared" si="38"/>
        <v>9.2800000000000001E-3</v>
      </c>
      <c r="BM33">
        <f t="shared" si="39"/>
        <v>2.3625000000000002E-5</v>
      </c>
      <c r="BN33">
        <f t="shared" si="40"/>
        <v>0.11164893669082801</v>
      </c>
      <c r="BO33" s="469">
        <f t="shared" si="58"/>
        <v>111.64893669082801</v>
      </c>
      <c r="BP33" s="177">
        <f t="shared" si="41"/>
        <v>3.8790744215569654E-2</v>
      </c>
      <c r="BQ33" s="177">
        <f t="shared" si="42"/>
        <v>1.5045686053892414E-2</v>
      </c>
      <c r="BR33" s="538"/>
      <c r="BT33" s="469">
        <f t="shared" si="59"/>
        <v>53.83643026946207</v>
      </c>
      <c r="BU33" s="538">
        <f t="shared" si="43"/>
        <v>1.4167003917554344E-3</v>
      </c>
      <c r="BV33" s="538">
        <f t="shared" si="60"/>
        <v>1.3663935247829567E-3</v>
      </c>
      <c r="BW33" s="538">
        <f t="shared" si="44"/>
        <v>5.69330635326232E-4</v>
      </c>
      <c r="BX33" s="538">
        <f t="shared" si="45"/>
        <v>0</v>
      </c>
      <c r="BY33" s="538">
        <f t="shared" si="46"/>
        <v>3.7557227602636983E-3</v>
      </c>
      <c r="BZ33" s="538">
        <f t="shared" si="61"/>
        <v>3.3524245518646231E-3</v>
      </c>
      <c r="CA33" s="641">
        <f t="shared" si="47"/>
        <v>4.4800000000000013E-3</v>
      </c>
      <c r="CB33" s="469">
        <f t="shared" si="62"/>
        <v>8.2357227602637</v>
      </c>
      <c r="CC33" s="177">
        <f t="shared" si="63"/>
        <v>0.17372108972055381</v>
      </c>
      <c r="CD33" s="5">
        <f t="shared" si="64"/>
        <v>1.3440000000000003</v>
      </c>
      <c r="CE33" s="177">
        <f t="shared" si="65"/>
        <v>0.88553819875261819</v>
      </c>
      <c r="CF33" s="5">
        <f t="shared" si="66"/>
        <v>88.553819875261823</v>
      </c>
      <c r="CG33">
        <f t="shared" si="67"/>
        <v>28.000000000000004</v>
      </c>
      <c r="CI33" s="571">
        <f t="shared" si="48"/>
        <v>-50</v>
      </c>
      <c r="CJ33">
        <f t="shared" si="49"/>
        <v>-50</v>
      </c>
    </row>
    <row r="34" spans="5:88" x14ac:dyDescent="0.25">
      <c r="E34" s="174">
        <v>29</v>
      </c>
      <c r="F34" s="221">
        <f t="shared" si="68"/>
        <v>5.7999999999999996E-2</v>
      </c>
      <c r="G34" s="221">
        <f t="shared" si="50"/>
        <v>2.8999999999999998E-2</v>
      </c>
      <c r="H34" s="221">
        <f t="shared" si="0"/>
        <v>0.92799999999999994</v>
      </c>
      <c r="I34" s="221">
        <f t="shared" si="69"/>
        <v>0.46399999999999997</v>
      </c>
      <c r="J34" s="551">
        <f t="shared" si="1"/>
        <v>32</v>
      </c>
      <c r="K34" s="451">
        <f t="shared" si="2"/>
        <v>19.584</v>
      </c>
      <c r="L34" s="451">
        <f t="shared" si="3"/>
        <v>51.584000000000003</v>
      </c>
      <c r="M34" s="451"/>
      <c r="N34" s="221">
        <f t="shared" si="4"/>
        <v>0.37965260545905705</v>
      </c>
      <c r="O34" s="176">
        <f t="shared" si="51"/>
        <v>5.4669975186104214</v>
      </c>
      <c r="P34" s="176">
        <f t="shared" si="5"/>
        <v>2.7334987593052107</v>
      </c>
      <c r="Q34" s="221">
        <f t="shared" si="6"/>
        <v>0.34168734491315134</v>
      </c>
      <c r="R34" s="221">
        <f t="shared" si="7"/>
        <v>0.34168734491315134</v>
      </c>
      <c r="S34" s="451">
        <f t="shared" si="8"/>
        <v>16</v>
      </c>
      <c r="T34" s="221">
        <f t="shared" si="9"/>
        <v>0.25461873638344229</v>
      </c>
      <c r="U34" s="221">
        <f t="shared" si="10"/>
        <v>0.23870506535947716</v>
      </c>
      <c r="V34" s="221">
        <f t="shared" si="11"/>
        <v>0.39004095646973397</v>
      </c>
      <c r="W34" s="201">
        <f t="shared" si="12"/>
        <v>350</v>
      </c>
      <c r="X34" s="451">
        <f t="shared" si="52"/>
        <v>350</v>
      </c>
      <c r="Z34" s="221">
        <f t="shared" si="13"/>
        <v>1.1570365118752215</v>
      </c>
      <c r="AA34" s="177">
        <f t="shared" si="14"/>
        <v>1.7724211272598367</v>
      </c>
      <c r="AB34" s="177">
        <f t="shared" si="15"/>
        <v>0.2871058342122137</v>
      </c>
      <c r="AC34" s="177"/>
      <c r="AD34" s="177">
        <f t="shared" si="16"/>
        <v>0.4595588235294118</v>
      </c>
      <c r="AE34" s="555">
        <f t="shared" si="17"/>
        <v>1051.7333333333333</v>
      </c>
      <c r="AF34" s="538">
        <f t="shared" si="18"/>
        <v>1.9301470588235291E-2</v>
      </c>
      <c r="AH34" s="177">
        <f t="shared" si="19"/>
        <v>0.51492024347743126</v>
      </c>
      <c r="AI34" s="177">
        <f t="shared" si="20"/>
        <v>0.51492024347743126</v>
      </c>
      <c r="AJ34" s="177">
        <f t="shared" si="21"/>
        <v>1.3592001803536529</v>
      </c>
      <c r="AL34" s="555">
        <f t="shared" si="22"/>
        <v>57.999999999999993</v>
      </c>
      <c r="AM34" s="469">
        <f t="shared" si="23"/>
        <v>350</v>
      </c>
      <c r="AO34">
        <f t="shared" si="53"/>
        <v>57.999999999999993</v>
      </c>
      <c r="AP34" s="469">
        <f t="shared" si="24"/>
        <v>350</v>
      </c>
      <c r="AQ34" s="469"/>
      <c r="AR34" s="5">
        <f t="shared" si="54"/>
        <v>2.8571428571428572</v>
      </c>
      <c r="AS34" s="5">
        <f t="shared" si="25"/>
        <v>0.48273772826009187</v>
      </c>
      <c r="AT34" s="5">
        <f t="shared" si="55"/>
        <v>2.3744051288827652</v>
      </c>
      <c r="AU34" s="177">
        <f t="shared" si="56"/>
        <v>0.16895820489103214</v>
      </c>
      <c r="AW34" s="5">
        <f t="shared" si="26"/>
        <v>0.80504166666666677</v>
      </c>
      <c r="AX34" s="5">
        <f t="shared" si="27"/>
        <v>0.28232640666666659</v>
      </c>
      <c r="AY34" s="5">
        <f t="shared" si="28"/>
        <v>0.20126041666666669</v>
      </c>
      <c r="AZ34" s="5">
        <f t="shared" si="29"/>
        <v>0.18109818939393932</v>
      </c>
      <c r="BA34" s="5">
        <f t="shared" si="30"/>
        <v>7.1726821601666851E-2</v>
      </c>
      <c r="BB34" s="469">
        <f t="shared" si="31"/>
        <v>11.621291456266695</v>
      </c>
      <c r="BC34" s="5"/>
      <c r="BD34" s="177">
        <f t="shared" si="57"/>
        <v>0.12219937422444317</v>
      </c>
      <c r="BE34" s="177">
        <f t="shared" si="32"/>
        <v>0.21681072345451091</v>
      </c>
      <c r="BF34" s="177">
        <f t="shared" si="33"/>
        <v>0.10840536172725546</v>
      </c>
      <c r="BG34" s="177"/>
      <c r="BH34" s="538">
        <f t="shared" si="34"/>
        <v>5.2264404712959265E-3</v>
      </c>
      <c r="BI34" s="538">
        <f t="shared" si="35"/>
        <v>4.6482880219194674E-2</v>
      </c>
      <c r="BJ34" s="538">
        <f t="shared" si="36"/>
        <v>4.3749999999999995E-3</v>
      </c>
      <c r="BK34" s="538">
        <f t="shared" si="37"/>
        <v>4.6565908480000008E-2</v>
      </c>
      <c r="BL34">
        <f t="shared" si="38"/>
        <v>9.2800000000000001E-3</v>
      </c>
      <c r="BM34">
        <f t="shared" si="39"/>
        <v>2.3625000000000002E-5</v>
      </c>
      <c r="BN34">
        <f t="shared" si="40"/>
        <v>0.1127681635234055</v>
      </c>
      <c r="BO34" s="469">
        <f t="shared" si="58"/>
        <v>112.76816352340551</v>
      </c>
      <c r="BP34" s="177">
        <f t="shared" si="41"/>
        <v>4.0112631905459738E-2</v>
      </c>
      <c r="BQ34" s="177">
        <f t="shared" si="42"/>
        <v>1.5567157976364933E-2</v>
      </c>
      <c r="BR34" s="538"/>
      <c r="BT34" s="469">
        <f t="shared" si="59"/>
        <v>55.679789881824668</v>
      </c>
      <c r="BU34" s="538">
        <f t="shared" si="43"/>
        <v>1.4932687060845507E-3</v>
      </c>
      <c r="BV34" s="538">
        <f t="shared" si="60"/>
        <v>1.4102066941460523E-3</v>
      </c>
      <c r="BW34" s="538">
        <f t="shared" si="44"/>
        <v>5.875861225608552E-4</v>
      </c>
      <c r="BX34" s="538">
        <f t="shared" si="45"/>
        <v>0</v>
      </c>
      <c r="BY34" s="538">
        <f t="shared" si="46"/>
        <v>3.9110812115368421E-3</v>
      </c>
      <c r="BZ34" s="538">
        <f t="shared" si="61"/>
        <v>3.4910615227914583E-3</v>
      </c>
      <c r="CA34" s="641">
        <f t="shared" si="47"/>
        <v>4.6399999999999992E-3</v>
      </c>
      <c r="CB34" s="469">
        <f t="shared" si="62"/>
        <v>8.5510812115368413</v>
      </c>
      <c r="CC34" s="177">
        <f t="shared" si="63"/>
        <v>0.17699903461676703</v>
      </c>
      <c r="CD34" s="5">
        <f t="shared" si="64"/>
        <v>1.3919999999999999</v>
      </c>
      <c r="CE34" s="177">
        <f t="shared" si="65"/>
        <v>0.88718983841822463</v>
      </c>
      <c r="CF34" s="5">
        <f t="shared" si="66"/>
        <v>88.718983841822464</v>
      </c>
      <c r="CG34">
        <f t="shared" si="67"/>
        <v>28.999999999999996</v>
      </c>
      <c r="CI34" s="571">
        <f t="shared" si="48"/>
        <v>-50</v>
      </c>
      <c r="CJ34">
        <f t="shared" si="49"/>
        <v>-50</v>
      </c>
    </row>
    <row r="35" spans="5:88" x14ac:dyDescent="0.25">
      <c r="E35" s="174">
        <v>30</v>
      </c>
      <c r="F35" s="221">
        <f t="shared" si="68"/>
        <v>0.06</v>
      </c>
      <c r="G35" s="221">
        <f t="shared" si="50"/>
        <v>0.03</v>
      </c>
      <c r="H35" s="221">
        <f t="shared" si="0"/>
        <v>0.96</v>
      </c>
      <c r="I35" s="221">
        <f t="shared" si="69"/>
        <v>0.48</v>
      </c>
      <c r="J35" s="551">
        <f t="shared" si="1"/>
        <v>32</v>
      </c>
      <c r="K35" s="451">
        <f t="shared" si="2"/>
        <v>19.584</v>
      </c>
      <c r="L35" s="451">
        <f t="shared" si="3"/>
        <v>51.584000000000003</v>
      </c>
      <c r="M35" s="451"/>
      <c r="N35" s="221">
        <f t="shared" si="4"/>
        <v>0.37965260545905705</v>
      </c>
      <c r="O35" s="176">
        <f t="shared" si="51"/>
        <v>5.4669975186104214</v>
      </c>
      <c r="P35" s="176">
        <f t="shared" si="5"/>
        <v>2.7334987593052107</v>
      </c>
      <c r="Q35" s="221">
        <f t="shared" si="6"/>
        <v>0.34168734491315134</v>
      </c>
      <c r="R35" s="221">
        <f t="shared" si="7"/>
        <v>0.34168734491315134</v>
      </c>
      <c r="S35" s="451">
        <f t="shared" si="8"/>
        <v>16</v>
      </c>
      <c r="T35" s="221">
        <f t="shared" si="9"/>
        <v>0.26339869281045752</v>
      </c>
      <c r="U35" s="221">
        <f t="shared" si="10"/>
        <v>0.24693627450980393</v>
      </c>
      <c r="V35" s="221">
        <f t="shared" si="11"/>
        <v>0.40349064462386264</v>
      </c>
      <c r="W35" s="201">
        <f t="shared" si="12"/>
        <v>350</v>
      </c>
      <c r="X35" s="451">
        <f t="shared" si="52"/>
        <v>350</v>
      </c>
      <c r="Z35" s="221">
        <f t="shared" si="13"/>
        <v>1.1570365118752215</v>
      </c>
      <c r="AA35" s="177">
        <f t="shared" si="14"/>
        <v>1.7724211272598367</v>
      </c>
      <c r="AB35" s="177">
        <f t="shared" si="15"/>
        <v>0.2871058342122137</v>
      </c>
      <c r="AC35" s="177"/>
      <c r="AD35" s="177">
        <f t="shared" si="16"/>
        <v>0.4595588235294118</v>
      </c>
      <c r="AE35" s="555">
        <f t="shared" si="17"/>
        <v>1088.0000000000002</v>
      </c>
      <c r="AF35" s="538">
        <f t="shared" si="18"/>
        <v>1.9301470588235291E-2</v>
      </c>
      <c r="AH35" s="177">
        <f t="shared" si="19"/>
        <v>0.52372293656638169</v>
      </c>
      <c r="AI35" s="177">
        <f t="shared" si="20"/>
        <v>0.52372293656638169</v>
      </c>
      <c r="AJ35" s="177">
        <f t="shared" si="21"/>
        <v>1.3657206937528752</v>
      </c>
      <c r="AL35" s="555">
        <f t="shared" si="22"/>
        <v>60</v>
      </c>
      <c r="AM35" s="469">
        <f t="shared" si="23"/>
        <v>350</v>
      </c>
      <c r="AO35">
        <f t="shared" si="53"/>
        <v>60</v>
      </c>
      <c r="AP35" s="469">
        <f t="shared" si="24"/>
        <v>350</v>
      </c>
      <c r="AQ35" s="469"/>
      <c r="AR35" s="5">
        <f t="shared" si="54"/>
        <v>2.8571428571428572</v>
      </c>
      <c r="AS35" s="5">
        <f t="shared" si="25"/>
        <v>0.49099025303098282</v>
      </c>
      <c r="AT35" s="5">
        <f t="shared" si="55"/>
        <v>2.3661526041118743</v>
      </c>
      <c r="AU35" s="177">
        <f t="shared" si="56"/>
        <v>0.17184658856084398</v>
      </c>
      <c r="AW35" s="5">
        <f t="shared" si="26"/>
        <v>0.80504166666666677</v>
      </c>
      <c r="AX35" s="5">
        <f t="shared" si="27"/>
        <v>0.29592599999999997</v>
      </c>
      <c r="AY35" s="5">
        <f t="shared" si="28"/>
        <v>0.20126041666666669</v>
      </c>
      <c r="AZ35" s="5">
        <f t="shared" si="29"/>
        <v>0.19173409090909088</v>
      </c>
      <c r="BA35" s="5">
        <f t="shared" si="30"/>
        <v>7.3942268878496059E-2</v>
      </c>
      <c r="BB35" s="469">
        <f t="shared" si="31"/>
        <v>11.980763020559372</v>
      </c>
      <c r="BC35" s="5"/>
      <c r="BD35" s="177">
        <f t="shared" si="57"/>
        <v>0.12534627276864457</v>
      </c>
      <c r="BE35" s="177">
        <f t="shared" si="32"/>
        <v>0.22013360791167524</v>
      </c>
      <c r="BF35" s="177">
        <f t="shared" si="33"/>
        <v>0.11006680395583762</v>
      </c>
      <c r="BG35" s="177"/>
      <c r="BH35" s="538">
        <f t="shared" si="34"/>
        <v>5.499090833947006E-3</v>
      </c>
      <c r="BI35" s="538">
        <f t="shared" si="35"/>
        <v>4.727751692972041E-2</v>
      </c>
      <c r="BJ35" s="538">
        <f t="shared" si="36"/>
        <v>4.3749999999999995E-3</v>
      </c>
      <c r="BK35" s="538">
        <f t="shared" si="37"/>
        <v>4.6565908480000008E-2</v>
      </c>
      <c r="BL35">
        <f t="shared" si="38"/>
        <v>9.2800000000000001E-3</v>
      </c>
      <c r="BM35">
        <f t="shared" si="39"/>
        <v>2.3625000000000002E-5</v>
      </c>
      <c r="BN35">
        <f t="shared" si="40"/>
        <v>0.11387905817833406</v>
      </c>
      <c r="BO35" s="469">
        <f t="shared" si="58"/>
        <v>113.87905817833406</v>
      </c>
      <c r="BP35" s="177">
        <f t="shared" si="41"/>
        <v>4.1431263636904671E-2</v>
      </c>
      <c r="BQ35" s="177">
        <f t="shared" si="42"/>
        <v>1.6087815909226165E-2</v>
      </c>
      <c r="BR35" s="538"/>
      <c r="BT35" s="469">
        <f t="shared" si="59"/>
        <v>57.519079546130833</v>
      </c>
      <c r="BU35" s="538">
        <f t="shared" si="43"/>
        <v>1.5711688096991449E-3</v>
      </c>
      <c r="BV35" s="538">
        <f t="shared" si="60"/>
        <v>1.4537641599663351E-3</v>
      </c>
      <c r="BW35" s="538">
        <f t="shared" si="44"/>
        <v>6.0573506665263961E-4</v>
      </c>
      <c r="BX35" s="538">
        <f t="shared" si="45"/>
        <v>0</v>
      </c>
      <c r="BY35" s="538">
        <f t="shared" si="46"/>
        <v>4.0675296286610584E-3</v>
      </c>
      <c r="BZ35" s="538">
        <f t="shared" si="61"/>
        <v>3.6306680363181196E-3</v>
      </c>
      <c r="CA35" s="641">
        <f t="shared" si="47"/>
        <v>4.7999999999999996E-3</v>
      </c>
      <c r="CB35" s="469">
        <f t="shared" si="62"/>
        <v>8.8675296286610585</v>
      </c>
      <c r="CC35" s="177">
        <f t="shared" si="63"/>
        <v>0.18026566735312596</v>
      </c>
      <c r="CD35" s="5">
        <f t="shared" si="64"/>
        <v>1.44</v>
      </c>
      <c r="CE35" s="177">
        <f t="shared" si="65"/>
        <v>0.88874314195177084</v>
      </c>
      <c r="CF35" s="5">
        <f t="shared" si="66"/>
        <v>88.874314195177078</v>
      </c>
      <c r="CG35">
        <f t="shared" si="67"/>
        <v>30</v>
      </c>
      <c r="CI35" s="571">
        <f t="shared" si="48"/>
        <v>-50</v>
      </c>
      <c r="CJ35">
        <f t="shared" si="49"/>
        <v>-50</v>
      </c>
    </row>
    <row r="36" spans="5:88" x14ac:dyDescent="0.25">
      <c r="E36" s="174">
        <v>31</v>
      </c>
      <c r="F36" s="221">
        <f t="shared" si="68"/>
        <v>6.2E-2</v>
      </c>
      <c r="G36" s="221">
        <f t="shared" si="50"/>
        <v>3.1E-2</v>
      </c>
      <c r="H36" s="221">
        <f t="shared" si="0"/>
        <v>0.99199999999999999</v>
      </c>
      <c r="I36" s="221">
        <f t="shared" si="69"/>
        <v>0.496</v>
      </c>
      <c r="J36" s="551">
        <f t="shared" si="1"/>
        <v>32</v>
      </c>
      <c r="K36" s="451">
        <f t="shared" si="2"/>
        <v>19.584</v>
      </c>
      <c r="L36" s="451">
        <f t="shared" si="3"/>
        <v>51.584000000000003</v>
      </c>
      <c r="M36" s="451"/>
      <c r="N36" s="221">
        <f t="shared" si="4"/>
        <v>0.37965260545905705</v>
      </c>
      <c r="O36" s="176">
        <f t="shared" si="51"/>
        <v>5.4669975186104214</v>
      </c>
      <c r="P36" s="176">
        <f t="shared" si="5"/>
        <v>2.7334987593052107</v>
      </c>
      <c r="Q36" s="221">
        <f t="shared" si="6"/>
        <v>0.34168734491315134</v>
      </c>
      <c r="R36" s="221">
        <f t="shared" si="7"/>
        <v>0.34168734491315134</v>
      </c>
      <c r="S36" s="451">
        <f t="shared" si="8"/>
        <v>16</v>
      </c>
      <c r="T36" s="221">
        <f t="shared" si="9"/>
        <v>0.27217864923747281</v>
      </c>
      <c r="U36" s="221">
        <f t="shared" si="10"/>
        <v>0.25516748366013081</v>
      </c>
      <c r="V36" s="221">
        <f t="shared" si="11"/>
        <v>0.41694033277799153</v>
      </c>
      <c r="W36" s="201">
        <f t="shared" si="12"/>
        <v>350</v>
      </c>
      <c r="X36" s="451">
        <f t="shared" si="52"/>
        <v>350</v>
      </c>
      <c r="Z36" s="221">
        <f t="shared" si="13"/>
        <v>1.1570365118752215</v>
      </c>
      <c r="AA36" s="177">
        <f t="shared" si="14"/>
        <v>1.7724211272598367</v>
      </c>
      <c r="AB36" s="177">
        <f t="shared" si="15"/>
        <v>0.2871058342122137</v>
      </c>
      <c r="AC36" s="177"/>
      <c r="AD36" s="177">
        <f t="shared" si="16"/>
        <v>0.4595588235294118</v>
      </c>
      <c r="AE36" s="555">
        <f t="shared" si="17"/>
        <v>1124.2666666666669</v>
      </c>
      <c r="AF36" s="538">
        <f t="shared" si="18"/>
        <v>1.9301470588235291E-2</v>
      </c>
      <c r="AH36" s="177">
        <f t="shared" si="19"/>
        <v>0.5323801005189539</v>
      </c>
      <c r="AI36" s="177">
        <f t="shared" si="20"/>
        <v>0.5323801005189539</v>
      </c>
      <c r="AJ36" s="177">
        <f t="shared" si="21"/>
        <v>1.3721334077918177</v>
      </c>
      <c r="AL36" s="555">
        <f t="shared" si="22"/>
        <v>62</v>
      </c>
      <c r="AM36" s="469">
        <f t="shared" si="23"/>
        <v>350</v>
      </c>
      <c r="AO36">
        <f t="shared" si="53"/>
        <v>62</v>
      </c>
      <c r="AP36" s="469">
        <f t="shared" si="24"/>
        <v>350</v>
      </c>
      <c r="AQ36" s="469"/>
      <c r="AR36" s="5">
        <f t="shared" si="54"/>
        <v>2.8571428571428572</v>
      </c>
      <c r="AS36" s="5">
        <f t="shared" si="25"/>
        <v>0.49910634423651928</v>
      </c>
      <c r="AT36" s="5">
        <f t="shared" si="55"/>
        <v>2.3580365129063381</v>
      </c>
      <c r="AU36" s="177">
        <f t="shared" si="56"/>
        <v>0.17468722048278174</v>
      </c>
      <c r="AW36" s="5">
        <f t="shared" si="26"/>
        <v>0.80504166666666677</v>
      </c>
      <c r="AX36" s="5">
        <f t="shared" si="27"/>
        <v>0.30978320666666659</v>
      </c>
      <c r="AY36" s="5">
        <f t="shared" si="28"/>
        <v>0.20126041666666669</v>
      </c>
      <c r="AZ36" s="5">
        <f t="shared" si="29"/>
        <v>0.20266273484848479</v>
      </c>
      <c r="BA36" s="5">
        <f t="shared" si="30"/>
        <v>7.6144929062600494E-2</v>
      </c>
      <c r="BB36" s="469">
        <f t="shared" si="31"/>
        <v>12.338188650016081</v>
      </c>
      <c r="BC36" s="5"/>
      <c r="BD36" s="177">
        <f t="shared" si="57"/>
        <v>0.12846705070206746</v>
      </c>
      <c r="BE36" s="177">
        <f t="shared" si="32"/>
        <v>0.22338831820501687</v>
      </c>
      <c r="BF36" s="177">
        <f t="shared" si="33"/>
        <v>0.11169415910250843</v>
      </c>
      <c r="BG36" s="177"/>
      <c r="BH36" s="538">
        <f t="shared" si="34"/>
        <v>5.7763240906306499E-3</v>
      </c>
      <c r="BI36" s="538">
        <f t="shared" si="35"/>
        <v>4.805901643404701E-2</v>
      </c>
      <c r="BJ36" s="538">
        <f t="shared" si="36"/>
        <v>4.3749999999999995E-3</v>
      </c>
      <c r="BK36" s="538">
        <f t="shared" si="37"/>
        <v>4.6565908480000008E-2</v>
      </c>
      <c r="BL36">
        <f t="shared" si="38"/>
        <v>9.2800000000000001E-3</v>
      </c>
      <c r="BM36">
        <f t="shared" si="39"/>
        <v>2.3625000000000002E-5</v>
      </c>
      <c r="BN36">
        <f t="shared" si="40"/>
        <v>0.11498221796242294</v>
      </c>
      <c r="BO36" s="469">
        <f t="shared" si="58"/>
        <v>114.98221796242295</v>
      </c>
      <c r="BP36" s="177">
        <f t="shared" si="41"/>
        <v>4.2746694151397965E-2</v>
      </c>
      <c r="BQ36" s="177">
        <f t="shared" si="42"/>
        <v>1.6607673537849494E-2</v>
      </c>
      <c r="BR36" s="538"/>
      <c r="BT36" s="469">
        <f t="shared" si="59"/>
        <v>59.354367689247454</v>
      </c>
      <c r="BU36" s="538">
        <f t="shared" si="43"/>
        <v>1.6503783116087571E-3</v>
      </c>
      <c r="BV36" s="538">
        <f t="shared" si="60"/>
        <v>1.4970702213139761E-3</v>
      </c>
      <c r="BW36" s="538">
        <f t="shared" si="44"/>
        <v>6.2377925888082344E-4</v>
      </c>
      <c r="BX36" s="538">
        <f t="shared" si="45"/>
        <v>0</v>
      </c>
      <c r="BY36" s="538">
        <f t="shared" si="46"/>
        <v>4.2250498168432665E-3</v>
      </c>
      <c r="BZ36" s="538">
        <f t="shared" si="61"/>
        <v>3.771227791803557E-3</v>
      </c>
      <c r="CA36" s="641">
        <f t="shared" si="47"/>
        <v>4.9600000000000017E-3</v>
      </c>
      <c r="CB36" s="469">
        <f t="shared" si="62"/>
        <v>9.1850498168432679</v>
      </c>
      <c r="CC36" s="177">
        <f t="shared" si="63"/>
        <v>0.18352163546851366</v>
      </c>
      <c r="CD36" s="5">
        <f t="shared" si="64"/>
        <v>1.488</v>
      </c>
      <c r="CE36" s="177">
        <f t="shared" si="65"/>
        <v>0.89020684412674445</v>
      </c>
      <c r="CF36" s="5">
        <f t="shared" si="66"/>
        <v>89.020684412674441</v>
      </c>
      <c r="CG36">
        <f t="shared" si="67"/>
        <v>31</v>
      </c>
      <c r="CI36" s="571">
        <f t="shared" si="48"/>
        <v>-50</v>
      </c>
      <c r="CJ36">
        <f t="shared" si="49"/>
        <v>-50</v>
      </c>
    </row>
    <row r="37" spans="5:88" x14ac:dyDescent="0.25">
      <c r="E37" s="174">
        <v>32</v>
      </c>
      <c r="F37" s="221">
        <f t="shared" si="68"/>
        <v>6.4000000000000001E-2</v>
      </c>
      <c r="G37" s="221">
        <f t="shared" si="50"/>
        <v>3.2000000000000001E-2</v>
      </c>
      <c r="H37" s="221">
        <f t="shared" ref="H37:H68" si="70">F37*Vout</f>
        <v>1.024</v>
      </c>
      <c r="I37" s="221">
        <f t="shared" si="69"/>
        <v>0.51200000000000001</v>
      </c>
      <c r="J37" s="551">
        <f t="shared" si="1"/>
        <v>32</v>
      </c>
      <c r="K37" s="451">
        <f t="shared" si="2"/>
        <v>19.584</v>
      </c>
      <c r="L37" s="451">
        <f t="shared" si="3"/>
        <v>51.584000000000003</v>
      </c>
      <c r="M37" s="451"/>
      <c r="N37" s="221">
        <f t="shared" si="4"/>
        <v>0.37965260545905705</v>
      </c>
      <c r="O37" s="176">
        <f t="shared" si="51"/>
        <v>5.4669975186104214</v>
      </c>
      <c r="P37" s="176">
        <f t="shared" ref="P37:P68" si="71">N37*J37*Isw_max*0.5*Efficiency*(Pout2/Pout_total)</f>
        <v>2.7334987593052107</v>
      </c>
      <c r="Q37" s="221">
        <f t="shared" si="6"/>
        <v>0.34168734491315134</v>
      </c>
      <c r="R37" s="221">
        <f t="shared" ref="R37:R68" si="72">O37/Vout2</f>
        <v>0.34168734491315134</v>
      </c>
      <c r="S37" s="451">
        <f t="shared" ref="S37:S68" si="73">MIN(Vout,O37/F37)</f>
        <v>16</v>
      </c>
      <c r="T37" s="221">
        <f t="shared" ref="T37:T68" si="74">MIN(2*(Vout*F37+Vout2*G37)/(Efficiency*J37*N37), Isw_max)</f>
        <v>0.28095860566448805</v>
      </c>
      <c r="U37" s="221">
        <f t="shared" si="10"/>
        <v>0.26339869281045752</v>
      </c>
      <c r="V37" s="221">
        <f t="shared" si="11"/>
        <v>0.43039002093212014</v>
      </c>
      <c r="W37" s="201">
        <f t="shared" si="12"/>
        <v>350</v>
      </c>
      <c r="X37" s="451">
        <f t="shared" si="52"/>
        <v>350</v>
      </c>
      <c r="Z37" s="221">
        <f t="shared" si="13"/>
        <v>1.1570365118752215</v>
      </c>
      <c r="AA37" s="177">
        <f t="shared" si="14"/>
        <v>1.7724211272598367</v>
      </c>
      <c r="AB37" s="177">
        <f t="shared" ref="AB37:AB68" si="75">0.5*AA37*Z37*Nps*W37/1000*(Pout/Pout_total)</f>
        <v>0.2871058342122137</v>
      </c>
      <c r="AC37" s="177"/>
      <c r="AD37" s="177">
        <f t="shared" si="16"/>
        <v>0.4595588235294118</v>
      </c>
      <c r="AE37" s="555">
        <f t="shared" ref="AE37:AE68" si="76">MAX(10, F37/(0.5*AD37/1000000*Isw_min*Nps)/1000*Pout_total/Pout)</f>
        <v>1160.5333333333335</v>
      </c>
      <c r="AF37" s="538">
        <f t="shared" ref="AF37:AF68" si="77">0.5*AD37/1000000*Isw_min*Nps*W37*1000*(Pout/Pout_total)</f>
        <v>1.9301470588235291E-2</v>
      </c>
      <c r="AH37" s="177">
        <f t="shared" ref="AH37:AH68" si="78">SQRT((H37+I37)/(0.5*L*Fsw_DCM))</f>
        <v>0.54089872302625064</v>
      </c>
      <c r="AI37" s="177">
        <f t="shared" ref="AI37:AI68" si="79">MAX(IF(F37&gt;AB37,T37,AH37),Isw_min)</f>
        <v>0.54089872302625064</v>
      </c>
      <c r="AJ37" s="177">
        <f t="shared" ref="AJ37:AJ68" si="80">IF(F37&gt;AF37, (AI37-Isw_min)/1.08*0.8+1.2, AE37*0.2/350+1)</f>
        <v>1.3784434985379634</v>
      </c>
      <c r="AL37" s="555">
        <f t="shared" ref="AL37:AL68" si="81">F37*1000</f>
        <v>64</v>
      </c>
      <c r="AM37" s="469">
        <f t="shared" ref="AM37:AM68" si="82">IF(F37&gt;AF37, X37, AE37)</f>
        <v>350</v>
      </c>
      <c r="AO37">
        <f t="shared" si="53"/>
        <v>64</v>
      </c>
      <c r="AP37" s="469">
        <f t="shared" si="24"/>
        <v>350</v>
      </c>
      <c r="AQ37" s="469"/>
      <c r="AR37" s="5">
        <f t="shared" si="54"/>
        <v>2.8571428571428572</v>
      </c>
      <c r="AS37" s="5">
        <f t="shared" si="25"/>
        <v>0.50709255283711008</v>
      </c>
      <c r="AT37" s="5">
        <f t="shared" si="55"/>
        <v>2.3500503043057472</v>
      </c>
      <c r="AU37" s="177">
        <f t="shared" si="56"/>
        <v>0.17748239349298853</v>
      </c>
      <c r="AW37" s="5">
        <f t="shared" ref="AW37:AW68" si="83">L*Iout^2/(2*Vripple1_spec*Vout*Npri_sec1^2)*1000000000*((1+N37)/(1-N37))^2</f>
        <v>0.80504166666666677</v>
      </c>
      <c r="AX37" s="5">
        <f t="shared" ref="AX37:AX68" si="84">L*F37^2/(2*Cout*Vout*Nps^2)*1000000000*((1+N37)/(1-N37))^2+F37*RCoutEsr</f>
        <v>0.32389802666666662</v>
      </c>
      <c r="AY37" s="5">
        <f t="shared" ref="AY37:AY68" si="85">L*Iout2^2/(2*Vripple2_spec*Vout2*Npri_sec2^2)*1000000000*((1+N37)/(1-N37))^2</f>
        <v>0.20126041666666669</v>
      </c>
      <c r="AZ37" s="5">
        <f t="shared" ref="AZ37:AZ68" si="86">L*G37^2/(2*Cout2*Vout2*Npri_sec2^2)*1000000000*((1+N37)/(1-N37))^2+G37*CoutEsr2</f>
        <v>0.21388412121212116</v>
      </c>
      <c r="BA37" s="5">
        <f t="shared" ref="BA37:BA68" si="87">(H37+I37)/Efficiency/J37*AT37/Vinripple1</f>
        <v>7.8335010143524911E-2</v>
      </c>
      <c r="BB37" s="469">
        <f t="shared" ref="BB37:BB68" si="88">((CD37/J37/Efficiency)*AT37/Cin+(CD37/J37/Efficiency)*RCinEsr)*1000</f>
        <v>12.693601622963987</v>
      </c>
      <c r="BC37" s="5"/>
      <c r="BD37" s="177">
        <f t="shared" si="57"/>
        <v>0.13156275740816634</v>
      </c>
      <c r="BE37" s="177">
        <f t="shared" ref="BE37:BE68" si="89">AI37*Npri_sec1*SQRT((1-AU37)/3)*(Pout/Pout_total)</f>
        <v>0.22657809304445231</v>
      </c>
      <c r="BF37" s="177">
        <f t="shared" ref="BF37:BF68" si="90">AI37*Npri_sec2*SQRT((1-AU37)/3)*(Pout2/Pout_total)</f>
        <v>0.11328904652222616</v>
      </c>
      <c r="BG37" s="177"/>
      <c r="BH37" s="538">
        <f t="shared" si="34"/>
        <v>6.0580656978940087E-3</v>
      </c>
      <c r="BI37" s="538">
        <f t="shared" si="35"/>
        <v>4.8828009525025702E-2</v>
      </c>
      <c r="BJ37" s="538">
        <f t="shared" si="36"/>
        <v>4.3749999999999995E-3</v>
      </c>
      <c r="BK37" s="538">
        <f t="shared" si="37"/>
        <v>4.6565908480000008E-2</v>
      </c>
      <c r="BL37">
        <f t="shared" si="38"/>
        <v>9.2800000000000001E-3</v>
      </c>
      <c r="BM37">
        <f t="shared" ref="BM37:BM68" si="91">(J37-Vdd)*Qg*AM37</f>
        <v>2.3625000000000002E-5</v>
      </c>
      <c r="BN37">
        <f t="shared" ref="BN37:BN68" si="92">(BI37+BJ37+BK37+BL37+BM37+BH37*(1+RdsonTC*(Ta-25)))/(1-BH37*RdsonTC*ThetaJA)</f>
        <v>0.11607818968784178</v>
      </c>
      <c r="BO37" s="469">
        <f t="shared" si="58"/>
        <v>116.07818968784179</v>
      </c>
      <c r="BP37" s="177">
        <f t="shared" ref="BP37:BP68" si="93">(Vfwd2*F37+BE37^2*Rdiode)*(1+Diode_TC/1000*(Ta-25))</f>
        <v>4.4058975518606311E-2</v>
      </c>
      <c r="BQ37" s="177">
        <f t="shared" ref="BQ37:BQ68" si="94">(Vfwd2*G37+BF37^2*Rdiode)*(1+Diode_TC/1000*(Ta-25))</f>
        <v>1.7126743879651577E-2</v>
      </c>
      <c r="BR37" s="538"/>
      <c r="BT37" s="469">
        <f t="shared" si="59"/>
        <v>61.185719398257888</v>
      </c>
      <c r="BU37" s="538">
        <f t="shared" si="43"/>
        <v>1.7308759136840026E-3</v>
      </c>
      <c r="BV37" s="538">
        <f t="shared" si="60"/>
        <v>1.5401289674298146E-3</v>
      </c>
      <c r="BW37" s="538">
        <f t="shared" ref="BW37:BW68" si="95">Rdcr_sec2*BF37^2</f>
        <v>6.4172040309575613E-4</v>
      </c>
      <c r="BX37" s="538">
        <f t="shared" si="45"/>
        <v>0</v>
      </c>
      <c r="BY37" s="538">
        <f t="shared" ref="BY37:BY68" si="96">(BX37+(BU37+BV37+BW37)*(1+Ltc*(Ta-25)))/(1-(BU37+BV37+BW37)*Ltc*ThetaCa)</f>
        <v>4.3836244717792988E-3</v>
      </c>
      <c r="BZ37" s="538">
        <f t="shared" si="61"/>
        <v>3.9127252842095731E-3</v>
      </c>
      <c r="CA37" s="641">
        <f t="shared" ref="CA37:CA68" si="97">0.5*Lleak*0.000000001*AI37^2*AM37*1000</f>
        <v>5.1200000000000013E-3</v>
      </c>
      <c r="CB37" s="469">
        <f t="shared" si="62"/>
        <v>9.5036244717793004</v>
      </c>
      <c r="CC37" s="177">
        <f t="shared" si="63"/>
        <v>0.18676753355787901</v>
      </c>
      <c r="CD37" s="5">
        <f t="shared" si="64"/>
        <v>1.536</v>
      </c>
      <c r="CE37" s="177">
        <f t="shared" si="65"/>
        <v>0.89158866189440866</v>
      </c>
      <c r="CF37" s="5">
        <f t="shared" si="66"/>
        <v>89.158866189440872</v>
      </c>
      <c r="CG37">
        <f t="shared" si="67"/>
        <v>32</v>
      </c>
      <c r="CI37" s="571">
        <f t="shared" ref="CI37:CI68" si="98">IF(ABS(F37-Ioutmax_Vinnom)&lt;Iout/200, AM37, -50)</f>
        <v>-50</v>
      </c>
      <c r="CJ37">
        <f t="shared" ref="CJ37:CJ68" si="99">IF(ABS(F37-Ioutmax_Vinnom)&lt;Iout/200, (O37+P37)*CE37, -50)</f>
        <v>-50</v>
      </c>
    </row>
    <row r="38" spans="5:88" x14ac:dyDescent="0.25">
      <c r="E38" s="174">
        <v>33</v>
      </c>
      <c r="F38" s="221">
        <f t="shared" si="68"/>
        <v>6.6000000000000003E-2</v>
      </c>
      <c r="G38" s="221">
        <f t="shared" ref="G38:G69" si="100">IF(PLOT_TYPE=1, E38/100*Iout2, min_I*EXP(Q38*rr/100))</f>
        <v>3.3000000000000002E-2</v>
      </c>
      <c r="H38" s="221">
        <f t="shared" si="70"/>
        <v>1.056</v>
      </c>
      <c r="I38" s="221">
        <f t="shared" si="69"/>
        <v>0.52800000000000002</v>
      </c>
      <c r="J38" s="551">
        <f t="shared" si="1"/>
        <v>32</v>
      </c>
      <c r="K38" s="451">
        <f t="shared" si="2"/>
        <v>19.584</v>
      </c>
      <c r="L38" s="451">
        <f t="shared" si="3"/>
        <v>51.584000000000003</v>
      </c>
      <c r="M38" s="451"/>
      <c r="N38" s="221">
        <f t="shared" si="4"/>
        <v>0.37965260545905705</v>
      </c>
      <c r="O38" s="176">
        <f t="shared" ref="O38:O69" si="101">N38*J38*Isw_max*0.5*Efficiency*Pout/(Pout+Pout2)</f>
        <v>5.4669975186104214</v>
      </c>
      <c r="P38" s="176">
        <f t="shared" si="71"/>
        <v>2.7334987593052107</v>
      </c>
      <c r="Q38" s="221">
        <f t="shared" si="6"/>
        <v>0.34168734491315134</v>
      </c>
      <c r="R38" s="221">
        <f t="shared" si="72"/>
        <v>0.34168734491315134</v>
      </c>
      <c r="S38" s="451">
        <f t="shared" si="73"/>
        <v>16</v>
      </c>
      <c r="T38" s="221">
        <f t="shared" si="74"/>
        <v>0.28973856209150328</v>
      </c>
      <c r="U38" s="221">
        <f t="shared" si="10"/>
        <v>0.27162990196078435</v>
      </c>
      <c r="V38" s="221">
        <f t="shared" si="11"/>
        <v>0.44383970908624898</v>
      </c>
      <c r="W38" s="201">
        <f t="shared" si="12"/>
        <v>350</v>
      </c>
      <c r="X38" s="451">
        <f t="shared" si="52"/>
        <v>350</v>
      </c>
      <c r="Z38" s="221">
        <f t="shared" si="13"/>
        <v>1.1570365118752215</v>
      </c>
      <c r="AA38" s="177">
        <f t="shared" si="14"/>
        <v>1.7724211272598367</v>
      </c>
      <c r="AB38" s="177">
        <f t="shared" si="75"/>
        <v>0.2871058342122137</v>
      </c>
      <c r="AC38" s="177"/>
      <c r="AD38" s="177">
        <f t="shared" si="16"/>
        <v>0.4595588235294118</v>
      </c>
      <c r="AE38" s="555">
        <f t="shared" si="76"/>
        <v>1196.8000000000002</v>
      </c>
      <c r="AF38" s="538">
        <f t="shared" si="77"/>
        <v>1.9301470588235291E-2</v>
      </c>
      <c r="AH38" s="177">
        <f t="shared" si="78"/>
        <v>0.54928524986047611</v>
      </c>
      <c r="AI38" s="177">
        <f t="shared" si="79"/>
        <v>0.54928524986047611</v>
      </c>
      <c r="AJ38" s="177">
        <f t="shared" si="80"/>
        <v>1.3846557406373896</v>
      </c>
      <c r="AL38" s="555">
        <f t="shared" si="81"/>
        <v>66</v>
      </c>
      <c r="AM38" s="469">
        <f t="shared" si="82"/>
        <v>350</v>
      </c>
      <c r="AO38">
        <f t="shared" si="53"/>
        <v>66</v>
      </c>
      <c r="AP38" s="469">
        <f t="shared" si="24"/>
        <v>350</v>
      </c>
      <c r="AQ38" s="469"/>
      <c r="AR38" s="5">
        <f t="shared" si="54"/>
        <v>2.8571428571428572</v>
      </c>
      <c r="AS38" s="5">
        <f t="shared" si="25"/>
        <v>0.51495492174419633</v>
      </c>
      <c r="AT38" s="5">
        <f t="shared" si="55"/>
        <v>2.3421879353986608</v>
      </c>
      <c r="AU38" s="177">
        <f t="shared" si="56"/>
        <v>0.1802342226104687</v>
      </c>
      <c r="AW38" s="5">
        <f t="shared" si="83"/>
        <v>0.80504166666666677</v>
      </c>
      <c r="AX38" s="5">
        <f t="shared" si="84"/>
        <v>0.33827046</v>
      </c>
      <c r="AY38" s="5">
        <f t="shared" si="85"/>
        <v>0.20126041666666669</v>
      </c>
      <c r="AZ38" s="5">
        <f t="shared" si="86"/>
        <v>0.22539825000000002</v>
      </c>
      <c r="BA38" s="5">
        <f t="shared" si="87"/>
        <v>8.051271027932895E-2</v>
      </c>
      <c r="BB38" s="469">
        <f t="shared" si="88"/>
        <v>13.047033644692634</v>
      </c>
      <c r="BC38" s="5"/>
      <c r="BD38" s="177">
        <f t="shared" si="57"/>
        <v>0.13463436873768789</v>
      </c>
      <c r="BE38" s="177">
        <f t="shared" si="89"/>
        <v>0.22970592027342487</v>
      </c>
      <c r="BF38" s="177">
        <f t="shared" si="90"/>
        <v>0.11485296013671244</v>
      </c>
      <c r="BG38" s="177"/>
      <c r="BH38" s="538">
        <f t="shared" si="34"/>
        <v>6.3442446358884979E-3</v>
      </c>
      <c r="BI38" s="538">
        <f t="shared" si="35"/>
        <v>4.9585078075404902E-2</v>
      </c>
      <c r="BJ38" s="538">
        <f t="shared" si="36"/>
        <v>4.3749999999999995E-3</v>
      </c>
      <c r="BK38" s="538">
        <f t="shared" si="37"/>
        <v>4.6565908480000008E-2</v>
      </c>
      <c r="BL38">
        <f t="shared" si="38"/>
        <v>9.2800000000000001E-3</v>
      </c>
      <c r="BM38">
        <f t="shared" si="91"/>
        <v>2.3625000000000002E-5</v>
      </c>
      <c r="BN38">
        <f t="shared" si="92"/>
        <v>0.11716747528599304</v>
      </c>
      <c r="BO38" s="469">
        <f t="shared" si="58"/>
        <v>117.16747528599304</v>
      </c>
      <c r="BP38" s="177">
        <f t="shared" si="93"/>
        <v>4.5368157346908522E-2</v>
      </c>
      <c r="BQ38" s="177">
        <f t="shared" si="94"/>
        <v>1.764503933672713E-2</v>
      </c>
      <c r="BR38" s="538"/>
      <c r="BT38" s="469">
        <f t="shared" si="59"/>
        <v>63.013196683635655</v>
      </c>
      <c r="BU38" s="538">
        <f t="shared" si="43"/>
        <v>1.8126413245395708E-3</v>
      </c>
      <c r="BV38" s="538">
        <f t="shared" si="60"/>
        <v>1.5829442942598307E-3</v>
      </c>
      <c r="BW38" s="538">
        <f t="shared" si="95"/>
        <v>6.5956012260826285E-4</v>
      </c>
      <c r="BX38" s="538">
        <f t="shared" si="45"/>
        <v>0</v>
      </c>
      <c r="BY38" s="538">
        <f t="shared" si="96"/>
        <v>4.5432371094659167E-3</v>
      </c>
      <c r="BZ38" s="538">
        <f t="shared" si="61"/>
        <v>4.055145741407664E-3</v>
      </c>
      <c r="CA38" s="641">
        <f t="shared" si="97"/>
        <v>5.2799999999999991E-3</v>
      </c>
      <c r="CB38" s="469">
        <f t="shared" si="62"/>
        <v>9.8232371094659161</v>
      </c>
      <c r="CC38" s="177">
        <f t="shared" si="63"/>
        <v>0.19000390907909459</v>
      </c>
      <c r="CD38" s="5">
        <f t="shared" si="64"/>
        <v>1.5840000000000001</v>
      </c>
      <c r="CE38" s="177">
        <f t="shared" si="65"/>
        <v>0.89289543945947236</v>
      </c>
      <c r="CF38" s="5">
        <f t="shared" si="66"/>
        <v>89.28954394594723</v>
      </c>
      <c r="CG38">
        <f t="shared" ref="CG38:CG69" si="102">F38/Iout*100</f>
        <v>33</v>
      </c>
      <c r="CI38" s="571">
        <f t="shared" si="98"/>
        <v>-50</v>
      </c>
      <c r="CJ38">
        <f t="shared" si="99"/>
        <v>-50</v>
      </c>
    </row>
    <row r="39" spans="5:88" x14ac:dyDescent="0.25">
      <c r="E39" s="174">
        <v>34</v>
      </c>
      <c r="F39" s="221">
        <f t="shared" si="68"/>
        <v>6.8000000000000005E-2</v>
      </c>
      <c r="G39" s="221">
        <f t="shared" si="100"/>
        <v>3.4000000000000002E-2</v>
      </c>
      <c r="H39" s="221">
        <f t="shared" si="70"/>
        <v>1.0880000000000001</v>
      </c>
      <c r="I39" s="221">
        <f t="shared" si="69"/>
        <v>0.54400000000000004</v>
      </c>
      <c r="J39" s="551">
        <f t="shared" si="1"/>
        <v>32</v>
      </c>
      <c r="K39" s="451">
        <f t="shared" si="2"/>
        <v>19.584</v>
      </c>
      <c r="L39" s="451">
        <f t="shared" si="3"/>
        <v>51.584000000000003</v>
      </c>
      <c r="M39" s="451"/>
      <c r="N39" s="221">
        <f t="shared" si="4"/>
        <v>0.37965260545905705</v>
      </c>
      <c r="O39" s="176">
        <f t="shared" si="101"/>
        <v>5.4669975186104214</v>
      </c>
      <c r="P39" s="176">
        <f t="shared" si="71"/>
        <v>2.7334987593052107</v>
      </c>
      <c r="Q39" s="221">
        <f t="shared" si="6"/>
        <v>0.34168734491315134</v>
      </c>
      <c r="R39" s="221">
        <f t="shared" si="72"/>
        <v>0.34168734491315134</v>
      </c>
      <c r="S39" s="451">
        <f t="shared" si="73"/>
        <v>16</v>
      </c>
      <c r="T39" s="221">
        <f t="shared" si="74"/>
        <v>0.29851851851851857</v>
      </c>
      <c r="U39" s="221">
        <f t="shared" si="10"/>
        <v>0.27986111111111117</v>
      </c>
      <c r="V39" s="221">
        <f t="shared" si="11"/>
        <v>0.4572893972403777</v>
      </c>
      <c r="W39" s="201">
        <f t="shared" si="12"/>
        <v>350</v>
      </c>
      <c r="X39" s="451">
        <f t="shared" si="52"/>
        <v>350</v>
      </c>
      <c r="Z39" s="221">
        <f t="shared" si="13"/>
        <v>1.1570365118752215</v>
      </c>
      <c r="AA39" s="177">
        <f t="shared" si="14"/>
        <v>1.7724211272598367</v>
      </c>
      <c r="AB39" s="177">
        <f t="shared" si="75"/>
        <v>0.2871058342122137</v>
      </c>
      <c r="AC39" s="177"/>
      <c r="AD39" s="177">
        <f t="shared" si="16"/>
        <v>0.4595588235294118</v>
      </c>
      <c r="AE39" s="555">
        <f t="shared" si="76"/>
        <v>1233.0666666666668</v>
      </c>
      <c r="AF39" s="538">
        <f t="shared" si="77"/>
        <v>1.9301470588235291E-2</v>
      </c>
      <c r="AH39" s="177">
        <f t="shared" si="78"/>
        <v>0.55754564194973566</v>
      </c>
      <c r="AI39" s="177">
        <f t="shared" si="79"/>
        <v>0.55754564194973566</v>
      </c>
      <c r="AJ39" s="177">
        <f t="shared" si="80"/>
        <v>1.3907745495923969</v>
      </c>
      <c r="AL39" s="555">
        <f t="shared" si="81"/>
        <v>68</v>
      </c>
      <c r="AM39" s="469">
        <f t="shared" si="82"/>
        <v>350</v>
      </c>
      <c r="AO39">
        <f t="shared" si="53"/>
        <v>68</v>
      </c>
      <c r="AP39" s="469">
        <f t="shared" si="24"/>
        <v>350</v>
      </c>
      <c r="AQ39" s="469"/>
      <c r="AR39" s="5">
        <f t="shared" si="54"/>
        <v>2.8571428571428572</v>
      </c>
      <c r="AS39" s="5">
        <f t="shared" si="25"/>
        <v>0.5226990393278772</v>
      </c>
      <c r="AT39" s="5">
        <f t="shared" si="55"/>
        <v>2.33444381781498</v>
      </c>
      <c r="AU39" s="177">
        <f t="shared" si="56"/>
        <v>0.18294466376475702</v>
      </c>
      <c r="AW39" s="5">
        <f t="shared" si="83"/>
        <v>0.80504166666666677</v>
      </c>
      <c r="AX39" s="5">
        <f t="shared" si="84"/>
        <v>0.35290050666666667</v>
      </c>
      <c r="AY39" s="5">
        <f t="shared" si="85"/>
        <v>0.20126041666666669</v>
      </c>
      <c r="AZ39" s="5">
        <f t="shared" si="86"/>
        <v>0.23720512121212117</v>
      </c>
      <c r="BA39" s="5">
        <f t="shared" si="87"/>
        <v>8.2678218547613883E-2</v>
      </c>
      <c r="BB39" s="469">
        <f t="shared" si="88"/>
        <v>13.398514967618222</v>
      </c>
      <c r="BC39" s="5"/>
      <c r="BD39" s="177">
        <f t="shared" si="57"/>
        <v>0.13768279422749602</v>
      </c>
      <c r="BE39" s="177">
        <f t="shared" si="89"/>
        <v>0.23277456327392004</v>
      </c>
      <c r="BF39" s="177">
        <f t="shared" si="90"/>
        <v>0.11638728163696002</v>
      </c>
      <c r="BG39" s="177"/>
      <c r="BH39" s="538">
        <f t="shared" si="34"/>
        <v>6.6347931392018531E-3</v>
      </c>
      <c r="BI39" s="538">
        <f t="shared" si="35"/>
        <v>5.0330760190086546E-2</v>
      </c>
      <c r="BJ39" s="538">
        <f t="shared" si="36"/>
        <v>4.3749999999999995E-3</v>
      </c>
      <c r="BK39" s="538">
        <f t="shared" si="37"/>
        <v>4.6565908480000008E-2</v>
      </c>
      <c r="BL39">
        <f t="shared" si="38"/>
        <v>9.2800000000000001E-3</v>
      </c>
      <c r="BM39">
        <f t="shared" si="91"/>
        <v>2.3625000000000002E-5</v>
      </c>
      <c r="BN39">
        <f t="shared" si="92"/>
        <v>0.11825053665127297</v>
      </c>
      <c r="BO39" s="469">
        <f t="shared" si="58"/>
        <v>118.25053665127297</v>
      </c>
      <c r="BP39" s="177">
        <f t="shared" si="93"/>
        <v>4.6674286971413133E-2</v>
      </c>
      <c r="BQ39" s="177">
        <f t="shared" si="94"/>
        <v>1.8162571742853281E-2</v>
      </c>
      <c r="BR39" s="538"/>
      <c r="BT39" s="469">
        <f t="shared" si="59"/>
        <v>64.836858714266427</v>
      </c>
      <c r="BU39" s="538">
        <f t="shared" si="43"/>
        <v>1.8956551826291011E-3</v>
      </c>
      <c r="BV39" s="538">
        <f t="shared" si="60"/>
        <v>1.6255199192209261E-3</v>
      </c>
      <c r="BW39" s="538">
        <f t="shared" si="95"/>
        <v>6.7729996634205262E-4</v>
      </c>
      <c r="BX39" s="538">
        <f t="shared" si="45"/>
        <v>0</v>
      </c>
      <c r="BY39" s="538">
        <f t="shared" si="96"/>
        <v>4.7038720035215897E-3</v>
      </c>
      <c r="BZ39" s="538">
        <f t="shared" si="61"/>
        <v>4.1984750681920797E-3</v>
      </c>
      <c r="CA39" s="641">
        <f t="shared" si="97"/>
        <v>5.4399999999999995E-3</v>
      </c>
      <c r="CB39" s="469">
        <f t="shared" si="62"/>
        <v>10.143872003521588</v>
      </c>
      <c r="CC39" s="177">
        <f t="shared" si="63"/>
        <v>0.19323126736906096</v>
      </c>
      <c r="CD39" s="5">
        <f t="shared" si="64"/>
        <v>1.6320000000000001</v>
      </c>
      <c r="CE39" s="177">
        <f t="shared" si="65"/>
        <v>0.89413326912397795</v>
      </c>
      <c r="CF39" s="5">
        <f t="shared" si="66"/>
        <v>89.413326912397793</v>
      </c>
      <c r="CG39">
        <f t="shared" si="102"/>
        <v>34</v>
      </c>
      <c r="CI39" s="571">
        <f t="shared" si="98"/>
        <v>-50</v>
      </c>
      <c r="CJ39">
        <f t="shared" si="99"/>
        <v>-50</v>
      </c>
    </row>
    <row r="40" spans="5:88" x14ac:dyDescent="0.25">
      <c r="E40" s="174">
        <v>35</v>
      </c>
      <c r="F40" s="221">
        <f t="shared" ref="F40:F71" si="103">IF(PLOT_TYPE=1, E40/100*Iout_max, min_I*EXP(O40*rr/100))</f>
        <v>6.9999999999999993E-2</v>
      </c>
      <c r="G40" s="221">
        <f t="shared" si="100"/>
        <v>3.4999999999999996E-2</v>
      </c>
      <c r="H40" s="221">
        <f t="shared" si="70"/>
        <v>1.1199999999999999</v>
      </c>
      <c r="I40" s="221">
        <f t="shared" ref="I40:I71" si="104">Vout2*G40</f>
        <v>0.55999999999999994</v>
      </c>
      <c r="J40" s="551">
        <f t="shared" si="1"/>
        <v>32</v>
      </c>
      <c r="K40" s="451">
        <f t="shared" si="2"/>
        <v>19.584</v>
      </c>
      <c r="L40" s="451">
        <f t="shared" si="3"/>
        <v>51.584000000000003</v>
      </c>
      <c r="M40" s="451"/>
      <c r="N40" s="221">
        <f t="shared" si="4"/>
        <v>0.37965260545905705</v>
      </c>
      <c r="O40" s="176">
        <f t="shared" si="101"/>
        <v>5.4669975186104214</v>
      </c>
      <c r="P40" s="176">
        <f t="shared" si="71"/>
        <v>2.7334987593052107</v>
      </c>
      <c r="Q40" s="221">
        <f t="shared" si="6"/>
        <v>0.34168734491315134</v>
      </c>
      <c r="R40" s="221">
        <f t="shared" si="72"/>
        <v>0.34168734491315134</v>
      </c>
      <c r="S40" s="451">
        <f t="shared" si="73"/>
        <v>16</v>
      </c>
      <c r="T40" s="221">
        <f t="shared" si="74"/>
        <v>0.30729847494553375</v>
      </c>
      <c r="U40" s="221">
        <f t="shared" si="10"/>
        <v>0.28809232026143794</v>
      </c>
      <c r="V40" s="221">
        <f t="shared" si="11"/>
        <v>0.47073908539450637</v>
      </c>
      <c r="W40" s="201">
        <f t="shared" si="12"/>
        <v>350</v>
      </c>
      <c r="X40" s="451">
        <f t="shared" si="52"/>
        <v>350</v>
      </c>
      <c r="Z40" s="221">
        <f t="shared" si="13"/>
        <v>1.1570365118752215</v>
      </c>
      <c r="AA40" s="177">
        <f t="shared" si="14"/>
        <v>1.7724211272598367</v>
      </c>
      <c r="AB40" s="177">
        <f t="shared" si="75"/>
        <v>0.2871058342122137</v>
      </c>
      <c r="AC40" s="177"/>
      <c r="AD40" s="177">
        <f t="shared" si="16"/>
        <v>0.4595588235294118</v>
      </c>
      <c r="AE40" s="555">
        <f t="shared" si="76"/>
        <v>1269.3333333333335</v>
      </c>
      <c r="AF40" s="538">
        <f t="shared" si="77"/>
        <v>1.9301470588235291E-2</v>
      </c>
      <c r="AH40" s="177">
        <f t="shared" si="78"/>
        <v>0.56568542494923801</v>
      </c>
      <c r="AI40" s="177">
        <f t="shared" si="79"/>
        <v>0.56568542494923801</v>
      </c>
      <c r="AJ40" s="177">
        <f t="shared" si="80"/>
        <v>1.396804018480917</v>
      </c>
      <c r="AL40" s="555">
        <f t="shared" si="81"/>
        <v>69.999999999999986</v>
      </c>
      <c r="AM40" s="469">
        <f t="shared" si="82"/>
        <v>350</v>
      </c>
      <c r="AO40">
        <f t="shared" si="53"/>
        <v>69.999999999999986</v>
      </c>
      <c r="AP40" s="469">
        <f t="shared" si="24"/>
        <v>350</v>
      </c>
      <c r="AQ40" s="469"/>
      <c r="AR40" s="5">
        <f t="shared" si="54"/>
        <v>2.8571428571428572</v>
      </c>
      <c r="AS40" s="5">
        <f t="shared" si="25"/>
        <v>0.5303300858899106</v>
      </c>
      <c r="AT40" s="5">
        <f t="shared" si="55"/>
        <v>2.3268127712529467</v>
      </c>
      <c r="AU40" s="177">
        <f t="shared" si="56"/>
        <v>0.18561553006146869</v>
      </c>
      <c r="AW40" s="5">
        <f t="shared" si="83"/>
        <v>0.80504166666666677</v>
      </c>
      <c r="AX40" s="5">
        <f t="shared" si="84"/>
        <v>0.36778816666666658</v>
      </c>
      <c r="AY40" s="5">
        <f t="shared" si="85"/>
        <v>0.20126041666666669</v>
      </c>
      <c r="AZ40" s="5">
        <f t="shared" si="86"/>
        <v>0.24930473484848475</v>
      </c>
      <c r="BA40" s="5">
        <f t="shared" si="87"/>
        <v>8.4831715618596995E-2</v>
      </c>
      <c r="BB40" s="469">
        <f t="shared" si="88"/>
        <v>13.748074498975521</v>
      </c>
      <c r="BC40" s="5"/>
      <c r="BD40" s="177">
        <f t="shared" si="57"/>
        <v>0.14070888341971635</v>
      </c>
      <c r="BE40" s="177">
        <f t="shared" si="89"/>
        <v>0.2357865839012129</v>
      </c>
      <c r="BF40" s="177">
        <f t="shared" si="90"/>
        <v>0.11789329195060645</v>
      </c>
      <c r="BG40" s="177"/>
      <c r="BH40" s="538">
        <f t="shared" si="34"/>
        <v>6.9296464556281639E-3</v>
      </c>
      <c r="BI40" s="538">
        <f t="shared" si="35"/>
        <v>5.1065554681017623E-2</v>
      </c>
      <c r="BJ40" s="538">
        <f t="shared" si="36"/>
        <v>4.3749999999999995E-3</v>
      </c>
      <c r="BK40" s="538">
        <f t="shared" si="37"/>
        <v>4.6565908480000008E-2</v>
      </c>
      <c r="BL40">
        <f t="shared" si="38"/>
        <v>9.2800000000000001E-3</v>
      </c>
      <c r="BM40">
        <f t="shared" si="91"/>
        <v>2.3625000000000002E-5</v>
      </c>
      <c r="BN40">
        <f t="shared" si="92"/>
        <v>0.11932779983948788</v>
      </c>
      <c r="BO40" s="469">
        <f t="shared" si="58"/>
        <v>119.32779983948788</v>
      </c>
      <c r="BP40" s="177">
        <f t="shared" si="93"/>
        <v>4.7977409622461012E-2</v>
      </c>
      <c r="BQ40" s="177">
        <f t="shared" si="94"/>
        <v>1.8679352405615253E-2</v>
      </c>
      <c r="BR40" s="538"/>
      <c r="BT40" s="469">
        <f t="shared" si="59"/>
        <v>66.656762028076272</v>
      </c>
      <c r="BU40" s="538">
        <f t="shared" si="43"/>
        <v>1.9798989873223327E-3</v>
      </c>
      <c r="BV40" s="538">
        <f t="shared" si="60"/>
        <v>1.6678593944341113E-3</v>
      </c>
      <c r="BW40" s="538">
        <f t="shared" si="95"/>
        <v>6.9494141434754643E-4</v>
      </c>
      <c r="BX40" s="538">
        <f t="shared" si="45"/>
        <v>0</v>
      </c>
      <c r="BY40" s="538">
        <f t="shared" si="96"/>
        <v>4.8655141290137507E-3</v>
      </c>
      <c r="BZ40" s="538">
        <f t="shared" si="61"/>
        <v>4.3426997961039902E-3</v>
      </c>
      <c r="CA40" s="641">
        <f t="shared" si="97"/>
        <v>5.6000000000000008E-3</v>
      </c>
      <c r="CB40" s="469">
        <f t="shared" si="62"/>
        <v>10.465514129013751</v>
      </c>
      <c r="CC40" s="177">
        <f t="shared" si="63"/>
        <v>0.19645007599657788</v>
      </c>
      <c r="CD40" s="5">
        <f t="shared" si="64"/>
        <v>1.6799999999999997</v>
      </c>
      <c r="CE40" s="177">
        <f t="shared" si="65"/>
        <v>0.8953075925069609</v>
      </c>
      <c r="CF40" s="5">
        <f t="shared" si="66"/>
        <v>89.530759250696093</v>
      </c>
      <c r="CG40">
        <f t="shared" si="102"/>
        <v>34.999999999999993</v>
      </c>
      <c r="CI40" s="571">
        <f t="shared" si="98"/>
        <v>-50</v>
      </c>
      <c r="CJ40">
        <f t="shared" si="99"/>
        <v>-50</v>
      </c>
    </row>
    <row r="41" spans="5:88" x14ac:dyDescent="0.25">
      <c r="E41" s="174">
        <v>36</v>
      </c>
      <c r="F41" s="221">
        <f t="shared" si="103"/>
        <v>7.1999999999999995E-2</v>
      </c>
      <c r="G41" s="221">
        <f t="shared" si="100"/>
        <v>3.5999999999999997E-2</v>
      </c>
      <c r="H41" s="221">
        <f t="shared" si="70"/>
        <v>1.1519999999999999</v>
      </c>
      <c r="I41" s="221">
        <f t="shared" si="104"/>
        <v>0.57599999999999996</v>
      </c>
      <c r="J41" s="551">
        <f t="shared" si="1"/>
        <v>32</v>
      </c>
      <c r="K41" s="451">
        <f t="shared" si="2"/>
        <v>19.584</v>
      </c>
      <c r="L41" s="451">
        <f t="shared" si="3"/>
        <v>51.584000000000003</v>
      </c>
      <c r="M41" s="451"/>
      <c r="N41" s="221">
        <f t="shared" si="4"/>
        <v>0.37965260545905705</v>
      </c>
      <c r="O41" s="176">
        <f t="shared" si="101"/>
        <v>5.4669975186104214</v>
      </c>
      <c r="P41" s="176">
        <f t="shared" si="71"/>
        <v>2.7334987593052107</v>
      </c>
      <c r="Q41" s="221">
        <f t="shared" si="6"/>
        <v>0.34168734491315134</v>
      </c>
      <c r="R41" s="221">
        <f t="shared" si="72"/>
        <v>0.34168734491315134</v>
      </c>
      <c r="S41" s="451">
        <f t="shared" si="73"/>
        <v>16</v>
      </c>
      <c r="T41" s="221">
        <f t="shared" si="74"/>
        <v>0.31607843137254898</v>
      </c>
      <c r="U41" s="221">
        <f t="shared" si="10"/>
        <v>0.29632352941176465</v>
      </c>
      <c r="V41" s="221">
        <f t="shared" si="11"/>
        <v>0.4841887735486351</v>
      </c>
      <c r="W41" s="201">
        <f t="shared" si="12"/>
        <v>350</v>
      </c>
      <c r="X41" s="451">
        <f t="shared" si="52"/>
        <v>350</v>
      </c>
      <c r="Z41" s="221">
        <f t="shared" si="13"/>
        <v>1.1570365118752215</v>
      </c>
      <c r="AA41" s="177">
        <f t="shared" si="14"/>
        <v>1.7724211272598367</v>
      </c>
      <c r="AB41" s="177">
        <f t="shared" si="75"/>
        <v>0.2871058342122137</v>
      </c>
      <c r="AC41" s="177"/>
      <c r="AD41" s="177">
        <f t="shared" si="16"/>
        <v>0.4595588235294118</v>
      </c>
      <c r="AE41" s="555">
        <f t="shared" si="76"/>
        <v>1305.5999999999999</v>
      </c>
      <c r="AF41" s="538">
        <f t="shared" si="77"/>
        <v>1.9301470588235291E-2</v>
      </c>
      <c r="AH41" s="177">
        <f t="shared" si="78"/>
        <v>0.57370973248050894</v>
      </c>
      <c r="AI41" s="177">
        <f t="shared" si="79"/>
        <v>0.57370973248050894</v>
      </c>
      <c r="AJ41" s="177">
        <f t="shared" si="80"/>
        <v>1.4027479499855622</v>
      </c>
      <c r="AL41" s="555">
        <f t="shared" si="81"/>
        <v>72</v>
      </c>
      <c r="AM41" s="469">
        <f t="shared" si="82"/>
        <v>350</v>
      </c>
      <c r="AO41">
        <f t="shared" si="53"/>
        <v>72</v>
      </c>
      <c r="AP41" s="469">
        <f t="shared" si="24"/>
        <v>350</v>
      </c>
      <c r="AQ41" s="469"/>
      <c r="AR41" s="5">
        <f t="shared" si="54"/>
        <v>2.8571428571428572</v>
      </c>
      <c r="AS41" s="5">
        <f t="shared" si="25"/>
        <v>0.53785287420047712</v>
      </c>
      <c r="AT41" s="5">
        <f t="shared" si="55"/>
        <v>2.3192899829423803</v>
      </c>
      <c r="AU41" s="177">
        <f t="shared" si="56"/>
        <v>0.18824850597016698</v>
      </c>
      <c r="AW41" s="5">
        <f t="shared" si="83"/>
        <v>0.80504166666666677</v>
      </c>
      <c r="AX41" s="5">
        <f t="shared" si="84"/>
        <v>0.3829334399999999</v>
      </c>
      <c r="AY41" s="5">
        <f t="shared" si="85"/>
        <v>0.20126041666666669</v>
      </c>
      <c r="AZ41" s="5">
        <f t="shared" si="86"/>
        <v>0.26169709090909088</v>
      </c>
      <c r="BA41" s="5">
        <f t="shared" si="87"/>
        <v>8.6973374360339251E-2</v>
      </c>
      <c r="BB41" s="469">
        <f t="shared" si="88"/>
        <v>14.09573989765428</v>
      </c>
      <c r="BC41" s="5"/>
      <c r="BD41" s="177">
        <f t="shared" si="57"/>
        <v>0.14371343141578077</v>
      </c>
      <c r="BE41" s="177">
        <f t="shared" si="89"/>
        <v>0.23874436249007419</v>
      </c>
      <c r="BF41" s="177">
        <f t="shared" si="90"/>
        <v>0.1193721812450371</v>
      </c>
      <c r="BG41" s="177"/>
      <c r="BH41" s="538">
        <f t="shared" si="34"/>
        <v>7.2287426292544131E-3</v>
      </c>
      <c r="BI41" s="538">
        <f t="shared" si="35"/>
        <v>5.1789924970480503E-2</v>
      </c>
      <c r="BJ41" s="538">
        <f t="shared" si="36"/>
        <v>4.3749999999999995E-3</v>
      </c>
      <c r="BK41" s="538">
        <f t="shared" si="37"/>
        <v>4.6565908480000008E-2</v>
      </c>
      <c r="BL41">
        <f t="shared" si="38"/>
        <v>9.2800000000000001E-3</v>
      </c>
      <c r="BM41">
        <f t="shared" si="91"/>
        <v>2.3625000000000002E-5</v>
      </c>
      <c r="BN41">
        <f t="shared" si="92"/>
        <v>0.12039965872253922</v>
      </c>
      <c r="BO41" s="469">
        <f t="shared" si="58"/>
        <v>120.39965872253921</v>
      </c>
      <c r="BP41" s="177">
        <f t="shared" si="93"/>
        <v>4.9277568577142522E-2</v>
      </c>
      <c r="BQ41" s="177">
        <f t="shared" si="94"/>
        <v>1.9195392144285631E-2</v>
      </c>
      <c r="BR41" s="538"/>
      <c r="BT41" s="469">
        <f t="shared" si="59"/>
        <v>68.472960721428151</v>
      </c>
      <c r="BU41" s="538">
        <f t="shared" si="43"/>
        <v>2.0653550369298325E-3</v>
      </c>
      <c r="BV41" s="538">
        <f t="shared" si="60"/>
        <v>1.7099661186237582E-3</v>
      </c>
      <c r="BW41" s="538">
        <f t="shared" si="95"/>
        <v>7.1248588275989936E-4</v>
      </c>
      <c r="BX41" s="538">
        <f t="shared" si="45"/>
        <v>0</v>
      </c>
      <c r="BY41" s="538">
        <f t="shared" si="96"/>
        <v>5.0281491119490533E-3</v>
      </c>
      <c r="BZ41" s="538">
        <f t="shared" si="61"/>
        <v>4.4878070383134903E-3</v>
      </c>
      <c r="CA41" s="641">
        <f t="shared" si="97"/>
        <v>5.7599999999999995E-3</v>
      </c>
      <c r="CB41" s="469">
        <f t="shared" si="62"/>
        <v>10.788149111949053</v>
      </c>
      <c r="CC41" s="177">
        <f t="shared" si="63"/>
        <v>0.19966076855591641</v>
      </c>
      <c r="CD41" s="5">
        <f t="shared" si="64"/>
        <v>1.7279999999999998</v>
      </c>
      <c r="CE41" s="177">
        <f t="shared" si="65"/>
        <v>0.89642328577061314</v>
      </c>
      <c r="CF41" s="5">
        <f t="shared" si="66"/>
        <v>89.642328577061321</v>
      </c>
      <c r="CG41">
        <f t="shared" si="102"/>
        <v>35.999999999999993</v>
      </c>
      <c r="CI41" s="571">
        <f t="shared" si="98"/>
        <v>-50</v>
      </c>
      <c r="CJ41">
        <f t="shared" si="99"/>
        <v>-50</v>
      </c>
    </row>
    <row r="42" spans="5:88" x14ac:dyDescent="0.25">
      <c r="E42" s="174">
        <v>37</v>
      </c>
      <c r="F42" s="221">
        <f t="shared" si="103"/>
        <v>7.3999999999999996E-2</v>
      </c>
      <c r="G42" s="221">
        <f t="shared" si="100"/>
        <v>3.6999999999999998E-2</v>
      </c>
      <c r="H42" s="221">
        <f t="shared" si="70"/>
        <v>1.1839999999999999</v>
      </c>
      <c r="I42" s="221">
        <f t="shared" si="104"/>
        <v>0.59199999999999997</v>
      </c>
      <c r="J42" s="551">
        <f t="shared" si="1"/>
        <v>32</v>
      </c>
      <c r="K42" s="451">
        <f t="shared" si="2"/>
        <v>19.584</v>
      </c>
      <c r="L42" s="451">
        <f t="shared" si="3"/>
        <v>51.584000000000003</v>
      </c>
      <c r="M42" s="451"/>
      <c r="N42" s="221">
        <f t="shared" si="4"/>
        <v>0.37965260545905705</v>
      </c>
      <c r="O42" s="176">
        <f t="shared" si="101"/>
        <v>5.4669975186104214</v>
      </c>
      <c r="P42" s="176">
        <f t="shared" si="71"/>
        <v>2.7334987593052107</v>
      </c>
      <c r="Q42" s="221">
        <f t="shared" si="6"/>
        <v>0.34168734491315134</v>
      </c>
      <c r="R42" s="221">
        <f t="shared" si="72"/>
        <v>0.34168734491315134</v>
      </c>
      <c r="S42" s="451">
        <f t="shared" si="73"/>
        <v>16</v>
      </c>
      <c r="T42" s="221">
        <f t="shared" si="74"/>
        <v>0.32485838779956427</v>
      </c>
      <c r="U42" s="221">
        <f t="shared" si="10"/>
        <v>0.30455473856209153</v>
      </c>
      <c r="V42" s="221">
        <f t="shared" si="11"/>
        <v>0.49763846170276393</v>
      </c>
      <c r="W42" s="201">
        <f t="shared" si="12"/>
        <v>350</v>
      </c>
      <c r="X42" s="451">
        <f t="shared" si="52"/>
        <v>350</v>
      </c>
      <c r="Z42" s="221">
        <f t="shared" si="13"/>
        <v>1.1570365118752215</v>
      </c>
      <c r="AA42" s="177">
        <f t="shared" si="14"/>
        <v>1.7724211272598367</v>
      </c>
      <c r="AB42" s="177">
        <f t="shared" si="75"/>
        <v>0.2871058342122137</v>
      </c>
      <c r="AC42" s="177"/>
      <c r="AD42" s="177">
        <f t="shared" si="16"/>
        <v>0.4595588235294118</v>
      </c>
      <c r="AE42" s="555">
        <f t="shared" si="76"/>
        <v>1341.8666666666668</v>
      </c>
      <c r="AF42" s="538">
        <f t="shared" si="77"/>
        <v>1.9301470588235291E-2</v>
      </c>
      <c r="AH42" s="177">
        <f t="shared" si="78"/>
        <v>0.58162334399997584</v>
      </c>
      <c r="AI42" s="177">
        <f t="shared" si="79"/>
        <v>0.58162334399997584</v>
      </c>
      <c r="AJ42" s="177">
        <f t="shared" si="80"/>
        <v>1.4086098844444266</v>
      </c>
      <c r="AL42" s="555">
        <f t="shared" si="81"/>
        <v>74</v>
      </c>
      <c r="AM42" s="469">
        <f t="shared" si="82"/>
        <v>350</v>
      </c>
      <c r="AO42">
        <f t="shared" si="53"/>
        <v>74</v>
      </c>
      <c r="AP42" s="469">
        <f t="shared" si="24"/>
        <v>350</v>
      </c>
      <c r="AQ42" s="469"/>
      <c r="AR42" s="5">
        <f t="shared" si="54"/>
        <v>2.8571428571428572</v>
      </c>
      <c r="AS42" s="5">
        <f t="shared" si="25"/>
        <v>0.54527188499997736</v>
      </c>
      <c r="AT42" s="5">
        <f t="shared" si="55"/>
        <v>2.3118709721428798</v>
      </c>
      <c r="AU42" s="177">
        <f t="shared" si="56"/>
        <v>0.19084515974999208</v>
      </c>
      <c r="AW42" s="5">
        <f t="shared" si="83"/>
        <v>0.80504166666666677</v>
      </c>
      <c r="AX42" s="5">
        <f t="shared" si="84"/>
        <v>0.39833632666666657</v>
      </c>
      <c r="AY42" s="5">
        <f t="shared" si="85"/>
        <v>0.20126041666666669</v>
      </c>
      <c r="AZ42" s="5">
        <f t="shared" si="86"/>
        <v>0.27438218939393932</v>
      </c>
      <c r="BA42" s="5">
        <f t="shared" si="87"/>
        <v>8.910336038467348E-2</v>
      </c>
      <c r="BB42" s="469">
        <f t="shared" si="88"/>
        <v>14.441537661547757</v>
      </c>
      <c r="BC42" s="5"/>
      <c r="BD42" s="177">
        <f t="shared" si="57"/>
        <v>0.14669718377664617</v>
      </c>
      <c r="BE42" s="177">
        <f t="shared" si="89"/>
        <v>0.24165011537696315</v>
      </c>
      <c r="BF42" s="177">
        <f t="shared" si="90"/>
        <v>0.12082505768848158</v>
      </c>
      <c r="BG42" s="177"/>
      <c r="BH42" s="538">
        <f t="shared" si="34"/>
        <v>7.5320223047996848E-3</v>
      </c>
      <c r="BI42" s="538">
        <f t="shared" si="35"/>
        <v>5.2504302509565823E-2</v>
      </c>
      <c r="BJ42" s="538">
        <f t="shared" si="36"/>
        <v>4.3749999999999995E-3</v>
      </c>
      <c r="BK42" s="538">
        <f t="shared" si="37"/>
        <v>4.6565908480000008E-2</v>
      </c>
      <c r="BL42">
        <f t="shared" si="38"/>
        <v>9.2800000000000001E-3</v>
      </c>
      <c r="BM42">
        <f t="shared" si="91"/>
        <v>2.3625000000000002E-5</v>
      </c>
      <c r="BN42">
        <f t="shared" si="92"/>
        <v>0.12146647818264907</v>
      </c>
      <c r="BO42" s="469">
        <f t="shared" si="58"/>
        <v>121.46647818264907</v>
      </c>
      <c r="BP42" s="177">
        <f t="shared" si="93"/>
        <v>5.057480529596925E-2</v>
      </c>
      <c r="BQ42" s="177">
        <f t="shared" si="94"/>
        <v>1.9710701323992313E-2</v>
      </c>
      <c r="BR42" s="538"/>
      <c r="BT42" s="469">
        <f t="shared" si="59"/>
        <v>70.285506619961566</v>
      </c>
      <c r="BU42" s="538">
        <f t="shared" si="43"/>
        <v>2.15200637279991E-3</v>
      </c>
      <c r="BV42" s="538">
        <f t="shared" si="60"/>
        <v>1.7518433478509879E-3</v>
      </c>
      <c r="BW42" s="538">
        <f t="shared" si="95"/>
        <v>7.2993472827124508E-4</v>
      </c>
      <c r="BX42" s="538">
        <f t="shared" si="45"/>
        <v>0</v>
      </c>
      <c r="BY42" s="538">
        <f t="shared" si="96"/>
        <v>5.1917631837130546E-3</v>
      </c>
      <c r="BZ42" s="538">
        <f t="shared" si="61"/>
        <v>4.6337844489221427E-3</v>
      </c>
      <c r="CA42" s="641">
        <f t="shared" si="97"/>
        <v>5.919999999999999E-3</v>
      </c>
      <c r="CB42" s="469">
        <f t="shared" si="62"/>
        <v>11.111763183713053</v>
      </c>
      <c r="CC42" s="177">
        <f t="shared" si="63"/>
        <v>0.20286374798632367</v>
      </c>
      <c r="CD42" s="5">
        <f t="shared" si="64"/>
        <v>1.7759999999999998</v>
      </c>
      <c r="CE42" s="177">
        <f t="shared" si="65"/>
        <v>0.89748473173418009</v>
      </c>
      <c r="CF42" s="5">
        <f t="shared" si="66"/>
        <v>89.748473173418006</v>
      </c>
      <c r="CG42">
        <f t="shared" si="102"/>
        <v>36.999999999999993</v>
      </c>
      <c r="CI42" s="571">
        <f t="shared" si="98"/>
        <v>-50</v>
      </c>
      <c r="CJ42">
        <f t="shared" si="99"/>
        <v>-50</v>
      </c>
    </row>
    <row r="43" spans="5:88" x14ac:dyDescent="0.25">
      <c r="E43" s="174">
        <v>38</v>
      </c>
      <c r="F43" s="221">
        <f t="shared" si="103"/>
        <v>7.6000000000000012E-2</v>
      </c>
      <c r="G43" s="221">
        <f t="shared" si="100"/>
        <v>3.8000000000000006E-2</v>
      </c>
      <c r="H43" s="221">
        <f t="shared" si="70"/>
        <v>1.2160000000000002</v>
      </c>
      <c r="I43" s="221">
        <f t="shared" si="104"/>
        <v>0.6080000000000001</v>
      </c>
      <c r="J43" s="551">
        <f t="shared" si="1"/>
        <v>32</v>
      </c>
      <c r="K43" s="451">
        <f t="shared" si="2"/>
        <v>19.584</v>
      </c>
      <c r="L43" s="451">
        <f t="shared" si="3"/>
        <v>51.584000000000003</v>
      </c>
      <c r="M43" s="451"/>
      <c r="N43" s="221">
        <f t="shared" si="4"/>
        <v>0.37965260545905705</v>
      </c>
      <c r="O43" s="176">
        <f t="shared" si="101"/>
        <v>5.4669975186104214</v>
      </c>
      <c r="P43" s="176">
        <f t="shared" si="71"/>
        <v>2.7334987593052107</v>
      </c>
      <c r="Q43" s="221">
        <f t="shared" si="6"/>
        <v>0.34168734491315134</v>
      </c>
      <c r="R43" s="221">
        <f t="shared" si="72"/>
        <v>0.34168734491315134</v>
      </c>
      <c r="S43" s="451">
        <f t="shared" si="73"/>
        <v>16</v>
      </c>
      <c r="T43" s="221">
        <f t="shared" si="74"/>
        <v>0.33363834422657962</v>
      </c>
      <c r="U43" s="221">
        <f t="shared" si="10"/>
        <v>0.31278594771241841</v>
      </c>
      <c r="V43" s="221">
        <f t="shared" si="11"/>
        <v>0.51108814985689277</v>
      </c>
      <c r="W43" s="201">
        <f t="shared" si="12"/>
        <v>350</v>
      </c>
      <c r="X43" s="451">
        <f t="shared" si="52"/>
        <v>350</v>
      </c>
      <c r="Z43" s="221">
        <f t="shared" si="13"/>
        <v>1.1570365118752215</v>
      </c>
      <c r="AA43" s="177">
        <f t="shared" si="14"/>
        <v>1.7724211272598367</v>
      </c>
      <c r="AB43" s="177">
        <f t="shared" si="75"/>
        <v>0.2871058342122137</v>
      </c>
      <c r="AC43" s="177"/>
      <c r="AD43" s="177">
        <f t="shared" si="16"/>
        <v>0.4595588235294118</v>
      </c>
      <c r="AE43" s="555">
        <f t="shared" si="76"/>
        <v>1378.1333333333339</v>
      </c>
      <c r="AF43" s="538">
        <f t="shared" si="77"/>
        <v>1.9301470588235291E-2</v>
      </c>
      <c r="AH43" s="177">
        <f t="shared" si="78"/>
        <v>0.58943071809040581</v>
      </c>
      <c r="AI43" s="177">
        <f t="shared" si="79"/>
        <v>0.58943071809040581</v>
      </c>
      <c r="AJ43" s="177">
        <f t="shared" si="80"/>
        <v>1.4143931245114116</v>
      </c>
      <c r="AL43" s="555">
        <f t="shared" si="81"/>
        <v>76.000000000000014</v>
      </c>
      <c r="AM43" s="469">
        <f t="shared" si="82"/>
        <v>350</v>
      </c>
      <c r="AO43">
        <f t="shared" si="53"/>
        <v>76.000000000000014</v>
      </c>
      <c r="AP43" s="469">
        <f t="shared" si="24"/>
        <v>350</v>
      </c>
      <c r="AQ43" s="469"/>
      <c r="AR43" s="5">
        <f t="shared" si="54"/>
        <v>2.8571428571428572</v>
      </c>
      <c r="AS43" s="5">
        <f t="shared" si="25"/>
        <v>0.55259129820975539</v>
      </c>
      <c r="AT43" s="5">
        <f t="shared" si="55"/>
        <v>2.3045515589331016</v>
      </c>
      <c r="AU43" s="177">
        <f t="shared" si="56"/>
        <v>0.19340695437341437</v>
      </c>
      <c r="AW43" s="5">
        <f t="shared" si="83"/>
        <v>0.80504166666666677</v>
      </c>
      <c r="AX43" s="5">
        <f t="shared" si="84"/>
        <v>0.41399682666666671</v>
      </c>
      <c r="AY43" s="5">
        <f t="shared" si="85"/>
        <v>0.20126041666666669</v>
      </c>
      <c r="AZ43" s="5">
        <f t="shared" si="86"/>
        <v>0.28736003030303031</v>
      </c>
      <c r="BA43" s="5">
        <f t="shared" si="87"/>
        <v>9.1221832541101944E-2</v>
      </c>
      <c r="BB43" s="469">
        <f t="shared" si="88"/>
        <v>14.785493206576312</v>
      </c>
      <c r="BC43" s="5"/>
      <c r="BD43" s="177">
        <f t="shared" si="57"/>
        <v>0.14966084086171444</v>
      </c>
      <c r="BE43" s="177">
        <f t="shared" si="89"/>
        <v>0.24450591030512242</v>
      </c>
      <c r="BF43" s="177">
        <f t="shared" si="90"/>
        <v>0.12225295515256121</v>
      </c>
      <c r="BG43" s="177"/>
      <c r="BH43" s="538">
        <f t="shared" si="34"/>
        <v>7.8394285506023943E-3</v>
      </c>
      <c r="BI43" s="538">
        <f t="shared" si="35"/>
        <v>5.3209089783457106E-2</v>
      </c>
      <c r="BJ43" s="538">
        <f t="shared" si="36"/>
        <v>4.3749999999999995E-3</v>
      </c>
      <c r="BK43" s="538">
        <f t="shared" si="37"/>
        <v>4.6565908480000008E-2</v>
      </c>
      <c r="BL43">
        <f t="shared" si="38"/>
        <v>9.2800000000000001E-3</v>
      </c>
      <c r="BM43">
        <f t="shared" si="91"/>
        <v>2.3625000000000002E-5</v>
      </c>
      <c r="BN43">
        <f t="shared" si="92"/>
        <v>0.12252859691477036</v>
      </c>
      <c r="BO43" s="469">
        <f t="shared" si="58"/>
        <v>122.52859691477036</v>
      </c>
      <c r="BP43" s="177">
        <f t="shared" si="93"/>
        <v>5.1869159546520181E-2</v>
      </c>
      <c r="BQ43" s="177">
        <f t="shared" si="94"/>
        <v>2.0225289886630044E-2</v>
      </c>
      <c r="BR43" s="538"/>
      <c r="BT43" s="469">
        <f t="shared" si="59"/>
        <v>72.094449433150231</v>
      </c>
      <c r="BU43" s="538">
        <f t="shared" si="43"/>
        <v>2.2398367287435415E-3</v>
      </c>
      <c r="BV43" s="538">
        <f t="shared" si="60"/>
        <v>1.7934942052240971E-3</v>
      </c>
      <c r="BW43" s="538">
        <f t="shared" si="95"/>
        <v>7.4728925217670719E-4</v>
      </c>
      <c r="BX43" s="538">
        <f t="shared" si="45"/>
        <v>0</v>
      </c>
      <c r="BY43" s="538">
        <f t="shared" si="96"/>
        <v>5.3563431398527313E-3</v>
      </c>
      <c r="BZ43" s="538">
        <f t="shared" si="61"/>
        <v>4.7806201861443458E-3</v>
      </c>
      <c r="CA43" s="641">
        <f t="shared" si="97"/>
        <v>6.0800000000000012E-3</v>
      </c>
      <c r="CB43" s="469">
        <f t="shared" si="62"/>
        <v>11.436343139852731</v>
      </c>
      <c r="CC43" s="177">
        <f t="shared" si="63"/>
        <v>0.20605938948777333</v>
      </c>
      <c r="CD43" s="5">
        <f t="shared" si="64"/>
        <v>1.8240000000000003</v>
      </c>
      <c r="CE43" s="177">
        <f t="shared" si="65"/>
        <v>0.8984958811772662</v>
      </c>
      <c r="CF43" s="5">
        <f t="shared" si="66"/>
        <v>89.849588117726626</v>
      </c>
      <c r="CG43">
        <f t="shared" si="102"/>
        <v>38.000000000000007</v>
      </c>
      <c r="CI43" s="571">
        <f t="shared" si="98"/>
        <v>-50</v>
      </c>
      <c r="CJ43">
        <f t="shared" si="99"/>
        <v>-50</v>
      </c>
    </row>
    <row r="44" spans="5:88" x14ac:dyDescent="0.25">
      <c r="E44" s="174">
        <v>39</v>
      </c>
      <c r="F44" s="221">
        <f t="shared" si="103"/>
        <v>7.8000000000000014E-2</v>
      </c>
      <c r="G44" s="221">
        <f t="shared" si="100"/>
        <v>3.9000000000000007E-2</v>
      </c>
      <c r="H44" s="221">
        <f t="shared" si="70"/>
        <v>1.2480000000000002</v>
      </c>
      <c r="I44" s="221">
        <f t="shared" si="104"/>
        <v>0.62400000000000011</v>
      </c>
      <c r="J44" s="551">
        <f t="shared" si="1"/>
        <v>32</v>
      </c>
      <c r="K44" s="451">
        <f t="shared" si="2"/>
        <v>19.584</v>
      </c>
      <c r="L44" s="451">
        <f t="shared" si="3"/>
        <v>51.584000000000003</v>
      </c>
      <c r="M44" s="451"/>
      <c r="N44" s="221">
        <f t="shared" si="4"/>
        <v>0.37965260545905705</v>
      </c>
      <c r="O44" s="176">
        <f t="shared" si="101"/>
        <v>5.4669975186104214</v>
      </c>
      <c r="P44" s="176">
        <f t="shared" si="71"/>
        <v>2.7334987593052107</v>
      </c>
      <c r="Q44" s="221">
        <f t="shared" si="6"/>
        <v>0.34168734491315134</v>
      </c>
      <c r="R44" s="221">
        <f t="shared" si="72"/>
        <v>0.34168734491315134</v>
      </c>
      <c r="S44" s="451">
        <f t="shared" si="73"/>
        <v>16</v>
      </c>
      <c r="T44" s="221">
        <f t="shared" si="74"/>
        <v>0.34241830065359485</v>
      </c>
      <c r="U44" s="221">
        <f t="shared" si="10"/>
        <v>0.32101715686274518</v>
      </c>
      <c r="V44" s="221">
        <f t="shared" si="11"/>
        <v>0.5245378380110215</v>
      </c>
      <c r="W44" s="201">
        <f t="shared" si="12"/>
        <v>350</v>
      </c>
      <c r="X44" s="451">
        <f t="shared" si="52"/>
        <v>350</v>
      </c>
      <c r="Z44" s="221">
        <f t="shared" si="13"/>
        <v>1.1570365118752215</v>
      </c>
      <c r="AA44" s="177">
        <f t="shared" si="14"/>
        <v>1.7724211272598367</v>
      </c>
      <c r="AB44" s="177">
        <f t="shared" si="75"/>
        <v>0.2871058342122137</v>
      </c>
      <c r="AC44" s="177"/>
      <c r="AD44" s="177">
        <f t="shared" si="16"/>
        <v>0.4595588235294118</v>
      </c>
      <c r="AE44" s="555">
        <f t="shared" si="76"/>
        <v>1414.4000000000005</v>
      </c>
      <c r="AF44" s="538">
        <f t="shared" si="77"/>
        <v>1.9301470588235291E-2</v>
      </c>
      <c r="AH44" s="177">
        <f t="shared" si="78"/>
        <v>0.59713602183374326</v>
      </c>
      <c r="AI44" s="177">
        <f t="shared" si="79"/>
        <v>0.59713602183374326</v>
      </c>
      <c r="AJ44" s="177">
        <f t="shared" si="80"/>
        <v>1.4201007569138839</v>
      </c>
      <c r="AL44" s="555">
        <f t="shared" si="81"/>
        <v>78.000000000000014</v>
      </c>
      <c r="AM44" s="469">
        <f t="shared" si="82"/>
        <v>350</v>
      </c>
      <c r="AO44">
        <f t="shared" si="53"/>
        <v>78.000000000000014</v>
      </c>
      <c r="AP44" s="469">
        <f t="shared" si="24"/>
        <v>350</v>
      </c>
      <c r="AQ44" s="469"/>
      <c r="AR44" s="5">
        <f t="shared" si="54"/>
        <v>2.8571428571428572</v>
      </c>
      <c r="AS44" s="5">
        <f t="shared" si="25"/>
        <v>0.55981502046913434</v>
      </c>
      <c r="AT44" s="5">
        <f t="shared" si="55"/>
        <v>2.2973278366737229</v>
      </c>
      <c r="AU44" s="177">
        <f t="shared" si="56"/>
        <v>0.19593525716419702</v>
      </c>
      <c r="AW44" s="5">
        <f t="shared" si="83"/>
        <v>0.80504166666666677</v>
      </c>
      <c r="AX44" s="5">
        <f t="shared" si="84"/>
        <v>0.42991494000000008</v>
      </c>
      <c r="AY44" s="5">
        <f t="shared" si="85"/>
        <v>0.20126041666666669</v>
      </c>
      <c r="AZ44" s="5">
        <f t="shared" si="86"/>
        <v>0.30063061363636362</v>
      </c>
      <c r="BA44" s="5">
        <f t="shared" si="87"/>
        <v>9.3328943364870007E-2</v>
      </c>
      <c r="BB44" s="469">
        <f t="shared" si="88"/>
        <v>15.127630938379202</v>
      </c>
      <c r="BC44" s="5"/>
      <c r="BD44" s="177">
        <f t="shared" si="57"/>
        <v>0.15260506168379867</v>
      </c>
      <c r="BE44" s="177">
        <f t="shared" si="89"/>
        <v>0.24731368001710136</v>
      </c>
      <c r="BF44" s="177">
        <f t="shared" si="90"/>
        <v>0.12365684000855068</v>
      </c>
      <c r="BG44" s="177"/>
      <c r="BH44" s="538">
        <f t="shared" si="34"/>
        <v>8.150906698030598E-3</v>
      </c>
      <c r="BI44" s="538">
        <f t="shared" si="35"/>
        <v>5.390466296297567E-2</v>
      </c>
      <c r="BJ44" s="538">
        <f t="shared" si="36"/>
        <v>4.3749999999999995E-3</v>
      </c>
      <c r="BK44" s="538">
        <f t="shared" si="37"/>
        <v>4.6565908480000008E-2</v>
      </c>
      <c r="BL44">
        <f t="shared" si="38"/>
        <v>9.2800000000000001E-3</v>
      </c>
      <c r="BM44">
        <f t="shared" si="91"/>
        <v>2.3625000000000002E-5</v>
      </c>
      <c r="BN44">
        <f t="shared" si="92"/>
        <v>0.12358632989408029</v>
      </c>
      <c r="BO44" s="469">
        <f t="shared" si="58"/>
        <v>123.58632989408029</v>
      </c>
      <c r="BP44" s="177">
        <f t="shared" si="93"/>
        <v>5.3160669515615662E-2</v>
      </c>
      <c r="BQ44" s="177">
        <f t="shared" si="94"/>
        <v>2.0739167378903918E-2</v>
      </c>
      <c r="BR44" s="538"/>
      <c r="BT44" s="469">
        <f t="shared" si="59"/>
        <v>73.899836894519581</v>
      </c>
      <c r="BU44" s="538">
        <f t="shared" si="43"/>
        <v>2.3288304851515995E-3</v>
      </c>
      <c r="BV44" s="538">
        <f t="shared" si="60"/>
        <v>1.8349216897080359E-3</v>
      </c>
      <c r="BW44" s="538">
        <f t="shared" si="95"/>
        <v>7.6455070404501501E-4</v>
      </c>
      <c r="BX44" s="538">
        <f t="shared" si="45"/>
        <v>0</v>
      </c>
      <c r="BY44" s="538">
        <f t="shared" si="96"/>
        <v>5.5218763026835668E-3</v>
      </c>
      <c r="BZ44" s="538">
        <f t="shared" si="61"/>
        <v>4.9283028789046503E-3</v>
      </c>
      <c r="CA44" s="641">
        <f t="shared" si="97"/>
        <v>6.2400000000000034E-3</v>
      </c>
      <c r="CB44" s="469">
        <f t="shared" si="62"/>
        <v>11.76187630268357</v>
      </c>
      <c r="CC44" s="177">
        <f t="shared" si="63"/>
        <v>0.20924804309128342</v>
      </c>
      <c r="CD44" s="5">
        <f t="shared" si="64"/>
        <v>1.8720000000000003</v>
      </c>
      <c r="CE44" s="177">
        <f t="shared" si="65"/>
        <v>0.89946030518280429</v>
      </c>
      <c r="CF44" s="5">
        <f t="shared" si="66"/>
        <v>89.946030518280423</v>
      </c>
      <c r="CG44">
        <f t="shared" si="102"/>
        <v>39.000000000000007</v>
      </c>
      <c r="CI44" s="571">
        <f t="shared" si="98"/>
        <v>-50</v>
      </c>
      <c r="CJ44">
        <f t="shared" si="99"/>
        <v>-50</v>
      </c>
    </row>
    <row r="45" spans="5:88" x14ac:dyDescent="0.25">
      <c r="E45" s="174">
        <v>40</v>
      </c>
      <c r="F45" s="221">
        <f t="shared" si="103"/>
        <v>8.0000000000000016E-2</v>
      </c>
      <c r="G45" s="221">
        <f t="shared" si="100"/>
        <v>4.0000000000000008E-2</v>
      </c>
      <c r="H45" s="221">
        <f t="shared" si="70"/>
        <v>1.2800000000000002</v>
      </c>
      <c r="I45" s="221">
        <f t="shared" si="104"/>
        <v>0.64000000000000012</v>
      </c>
      <c r="J45" s="551">
        <f t="shared" si="1"/>
        <v>32</v>
      </c>
      <c r="K45" s="451">
        <f t="shared" si="2"/>
        <v>19.584</v>
      </c>
      <c r="L45" s="451">
        <f t="shared" si="3"/>
        <v>51.584000000000003</v>
      </c>
      <c r="M45" s="451"/>
      <c r="N45" s="221">
        <f t="shared" si="4"/>
        <v>0.37965260545905705</v>
      </c>
      <c r="O45" s="176">
        <f t="shared" si="101"/>
        <v>5.4669975186104214</v>
      </c>
      <c r="P45" s="176">
        <f t="shared" si="71"/>
        <v>2.7334987593052107</v>
      </c>
      <c r="Q45" s="221">
        <f t="shared" si="6"/>
        <v>0.34168734491315134</v>
      </c>
      <c r="R45" s="221">
        <f t="shared" si="72"/>
        <v>0.34168734491315134</v>
      </c>
      <c r="S45" s="451">
        <f t="shared" si="73"/>
        <v>16</v>
      </c>
      <c r="T45" s="221">
        <f t="shared" si="74"/>
        <v>0.35119825708061014</v>
      </c>
      <c r="U45" s="221">
        <f t="shared" si="10"/>
        <v>0.329248366013072</v>
      </c>
      <c r="V45" s="221">
        <f t="shared" si="11"/>
        <v>0.53798752616515044</v>
      </c>
      <c r="W45" s="201">
        <f t="shared" si="12"/>
        <v>350</v>
      </c>
      <c r="X45" s="451">
        <f t="shared" si="52"/>
        <v>350</v>
      </c>
      <c r="Z45" s="221">
        <f t="shared" si="13"/>
        <v>1.1570365118752215</v>
      </c>
      <c r="AA45" s="177">
        <f t="shared" si="14"/>
        <v>1.7724211272598367</v>
      </c>
      <c r="AB45" s="177">
        <f t="shared" si="75"/>
        <v>0.2871058342122137</v>
      </c>
      <c r="AC45" s="177"/>
      <c r="AD45" s="177">
        <f t="shared" si="16"/>
        <v>0.4595588235294118</v>
      </c>
      <c r="AE45" s="555">
        <f t="shared" si="76"/>
        <v>1450.6666666666672</v>
      </c>
      <c r="AF45" s="538">
        <f t="shared" si="77"/>
        <v>1.9301470588235291E-2</v>
      </c>
      <c r="AH45" s="177">
        <f t="shared" si="78"/>
        <v>0.60474315681476365</v>
      </c>
      <c r="AI45" s="177">
        <f t="shared" si="79"/>
        <v>0.60474315681476365</v>
      </c>
      <c r="AJ45" s="177">
        <f t="shared" si="80"/>
        <v>1.4257356717146397</v>
      </c>
      <c r="AL45" s="555">
        <f t="shared" si="81"/>
        <v>80.000000000000014</v>
      </c>
      <c r="AM45" s="469">
        <f t="shared" si="82"/>
        <v>350</v>
      </c>
      <c r="AO45">
        <f t="shared" si="53"/>
        <v>80.000000000000014</v>
      </c>
      <c r="AP45" s="469">
        <f t="shared" si="24"/>
        <v>350</v>
      </c>
      <c r="AQ45" s="469"/>
      <c r="AR45" s="5">
        <f t="shared" si="54"/>
        <v>2.8571428571428572</v>
      </c>
      <c r="AS45" s="5">
        <f t="shared" si="25"/>
        <v>0.56694670951384096</v>
      </c>
      <c r="AT45" s="5">
        <f t="shared" si="55"/>
        <v>2.2901961476290165</v>
      </c>
      <c r="AU45" s="177">
        <f t="shared" si="56"/>
        <v>0.19843134832984433</v>
      </c>
      <c r="AW45" s="5">
        <f t="shared" si="83"/>
        <v>0.80504166666666677</v>
      </c>
      <c r="AX45" s="5">
        <f t="shared" si="84"/>
        <v>0.44609066666666675</v>
      </c>
      <c r="AY45" s="5">
        <f t="shared" si="85"/>
        <v>0.20126041666666669</v>
      </c>
      <c r="AZ45" s="5">
        <f t="shared" si="86"/>
        <v>0.31419393939393947</v>
      </c>
      <c r="BA45" s="5">
        <f t="shared" si="87"/>
        <v>9.5424839484542376E-2</v>
      </c>
      <c r="BB45" s="469">
        <f t="shared" si="88"/>
        <v>15.467974317526782</v>
      </c>
      <c r="BC45" s="5"/>
      <c r="BD45" s="177">
        <f t="shared" si="57"/>
        <v>0.15553046734511713</v>
      </c>
      <c r="BE45" s="177">
        <f t="shared" si="89"/>
        <v>0.25007523428878298</v>
      </c>
      <c r="BF45" s="177">
        <f t="shared" si="90"/>
        <v>0.12503761714439149</v>
      </c>
      <c r="BG45" s="177"/>
      <c r="BH45" s="538">
        <f t="shared" si="34"/>
        <v>8.4664041954066911E-3</v>
      </c>
      <c r="BI45" s="538">
        <f t="shared" si="35"/>
        <v>5.4591374251982357E-2</v>
      </c>
      <c r="BJ45" s="538">
        <f t="shared" si="36"/>
        <v>4.3749999999999995E-3</v>
      </c>
      <c r="BK45" s="538">
        <f t="shared" si="37"/>
        <v>4.6565908480000008E-2</v>
      </c>
      <c r="BL45">
        <f t="shared" si="38"/>
        <v>9.2800000000000001E-3</v>
      </c>
      <c r="BM45">
        <f t="shared" si="91"/>
        <v>2.3625000000000002E-5</v>
      </c>
      <c r="BN45">
        <f t="shared" si="92"/>
        <v>0.12463997055596578</v>
      </c>
      <c r="BO45" s="469">
        <f t="shared" si="58"/>
        <v>124.63997055596577</v>
      </c>
      <c r="BP45" s="177">
        <f t="shared" si="93"/>
        <v>5.4449371911353274E-2</v>
      </c>
      <c r="BQ45" s="177">
        <f t="shared" si="94"/>
        <v>2.1252342977838321E-2</v>
      </c>
      <c r="BR45" s="538"/>
      <c r="BT45" s="469">
        <f t="shared" si="59"/>
        <v>75.701714889191592</v>
      </c>
      <c r="BU45" s="538">
        <f t="shared" si="43"/>
        <v>2.4189726272590552E-3</v>
      </c>
      <c r="BV45" s="538">
        <f t="shared" si="60"/>
        <v>1.8761286841376911E-3</v>
      </c>
      <c r="BW45" s="538">
        <f t="shared" si="95"/>
        <v>7.8172028505737133E-4</v>
      </c>
      <c r="BX45" s="538">
        <f t="shared" si="45"/>
        <v>0</v>
      </c>
      <c r="BY45" s="538">
        <f t="shared" si="96"/>
        <v>5.6883504872767736E-3</v>
      </c>
      <c r="BZ45" s="538">
        <f t="shared" si="61"/>
        <v>5.0768215964541175E-3</v>
      </c>
      <c r="CA45" s="641">
        <f t="shared" si="97"/>
        <v>6.400000000000002E-3</v>
      </c>
      <c r="CB45" s="469">
        <f t="shared" si="62"/>
        <v>12.088350487276776</v>
      </c>
      <c r="CC45" s="177">
        <f t="shared" si="63"/>
        <v>0.21243003593243415</v>
      </c>
      <c r="CD45" s="5">
        <f t="shared" si="64"/>
        <v>1.9200000000000004</v>
      </c>
      <c r="CE45" s="177">
        <f t="shared" si="65"/>
        <v>0.90038124001590225</v>
      </c>
      <c r="CF45" s="5">
        <f t="shared" si="66"/>
        <v>90.038124001590219</v>
      </c>
      <c r="CG45">
        <f t="shared" si="102"/>
        <v>40.000000000000007</v>
      </c>
      <c r="CI45" s="571">
        <f t="shared" si="98"/>
        <v>-50</v>
      </c>
      <c r="CJ45">
        <f t="shared" si="99"/>
        <v>-50</v>
      </c>
    </row>
    <row r="46" spans="5:88" x14ac:dyDescent="0.25">
      <c r="E46" s="174">
        <v>41</v>
      </c>
      <c r="F46" s="221">
        <f t="shared" si="103"/>
        <v>8.2000000000000003E-2</v>
      </c>
      <c r="G46" s="221">
        <f t="shared" si="100"/>
        <v>4.1000000000000002E-2</v>
      </c>
      <c r="H46" s="221">
        <f t="shared" si="70"/>
        <v>1.3120000000000001</v>
      </c>
      <c r="I46" s="221">
        <f t="shared" si="104"/>
        <v>0.65600000000000003</v>
      </c>
      <c r="J46" s="551">
        <f t="shared" si="1"/>
        <v>32</v>
      </c>
      <c r="K46" s="451">
        <f t="shared" si="2"/>
        <v>19.584</v>
      </c>
      <c r="L46" s="451">
        <f t="shared" si="3"/>
        <v>51.584000000000003</v>
      </c>
      <c r="M46" s="451"/>
      <c r="N46" s="221">
        <f t="shared" si="4"/>
        <v>0.37965260545905705</v>
      </c>
      <c r="O46" s="176">
        <f t="shared" si="101"/>
        <v>5.4669975186104214</v>
      </c>
      <c r="P46" s="176">
        <f t="shared" si="71"/>
        <v>2.7334987593052107</v>
      </c>
      <c r="Q46" s="221">
        <f t="shared" si="6"/>
        <v>0.34168734491315134</v>
      </c>
      <c r="R46" s="221">
        <f t="shared" si="72"/>
        <v>0.34168734491315134</v>
      </c>
      <c r="S46" s="451">
        <f t="shared" si="73"/>
        <v>16</v>
      </c>
      <c r="T46" s="221">
        <f t="shared" si="74"/>
        <v>0.35997821350762532</v>
      </c>
      <c r="U46" s="221">
        <f t="shared" si="10"/>
        <v>0.33747957516339877</v>
      </c>
      <c r="V46" s="221">
        <f t="shared" si="11"/>
        <v>0.55143721431927906</v>
      </c>
      <c r="W46" s="201">
        <f t="shared" si="12"/>
        <v>350</v>
      </c>
      <c r="X46" s="451">
        <f t="shared" si="52"/>
        <v>350</v>
      </c>
      <c r="Z46" s="221">
        <f t="shared" si="13"/>
        <v>1.1570365118752215</v>
      </c>
      <c r="AA46" s="177">
        <f t="shared" si="14"/>
        <v>1.7724211272598367</v>
      </c>
      <c r="AB46" s="177">
        <f t="shared" si="75"/>
        <v>0.2871058342122137</v>
      </c>
      <c r="AC46" s="177"/>
      <c r="AD46" s="177">
        <f t="shared" si="16"/>
        <v>0.4595588235294118</v>
      </c>
      <c r="AE46" s="555">
        <f t="shared" si="76"/>
        <v>1486.9333333333338</v>
      </c>
      <c r="AF46" s="538">
        <f t="shared" si="77"/>
        <v>1.9301470588235291E-2</v>
      </c>
      <c r="AH46" s="177">
        <f t="shared" si="78"/>
        <v>0.61225578221617705</v>
      </c>
      <c r="AI46" s="177">
        <f t="shared" si="79"/>
        <v>0.61225578221617705</v>
      </c>
      <c r="AJ46" s="177">
        <f t="shared" si="80"/>
        <v>1.4313005794193905</v>
      </c>
      <c r="AL46" s="555">
        <f t="shared" si="81"/>
        <v>82</v>
      </c>
      <c r="AM46" s="469">
        <f t="shared" si="82"/>
        <v>350</v>
      </c>
      <c r="AO46">
        <f t="shared" si="53"/>
        <v>82</v>
      </c>
      <c r="AP46" s="469">
        <f t="shared" si="24"/>
        <v>350</v>
      </c>
      <c r="AQ46" s="469"/>
      <c r="AR46" s="5">
        <f t="shared" si="54"/>
        <v>2.8571428571428572</v>
      </c>
      <c r="AS46" s="5">
        <f t="shared" si="25"/>
        <v>0.57398979582766607</v>
      </c>
      <c r="AT46" s="5">
        <f t="shared" si="55"/>
        <v>2.2831530613151911</v>
      </c>
      <c r="AU46" s="177">
        <f t="shared" si="56"/>
        <v>0.20089642853968312</v>
      </c>
      <c r="AW46" s="5">
        <f t="shared" si="83"/>
        <v>0.80504166666666677</v>
      </c>
      <c r="AX46" s="5">
        <f t="shared" si="84"/>
        <v>0.46252400666666665</v>
      </c>
      <c r="AY46" s="5">
        <f t="shared" si="85"/>
        <v>0.20126041666666669</v>
      </c>
      <c r="AZ46" s="5">
        <f t="shared" si="86"/>
        <v>0.32805000757575759</v>
      </c>
      <c r="BA46" s="5">
        <f t="shared" si="87"/>
        <v>9.7509661993669616E-2</v>
      </c>
      <c r="BB46" s="469">
        <f t="shared" si="88"/>
        <v>15.806545918987139</v>
      </c>
      <c r="BC46" s="5"/>
      <c r="BD46" s="177">
        <f t="shared" si="57"/>
        <v>0.15843764410916761</v>
      </c>
      <c r="BE46" s="177">
        <f t="shared" si="89"/>
        <v>0.25279227061793502</v>
      </c>
      <c r="BF46" s="177">
        <f t="shared" si="90"/>
        <v>0.12639613530896751</v>
      </c>
      <c r="BG46" s="177"/>
      <c r="BH46" s="538">
        <f t="shared" si="34"/>
        <v>8.785870474802138E-3</v>
      </c>
      <c r="BI46" s="538">
        <f t="shared" si="35"/>
        <v>5.5269553972218735E-2</v>
      </c>
      <c r="BJ46" s="538">
        <f t="shared" si="36"/>
        <v>4.3749999999999995E-3</v>
      </c>
      <c r="BK46" s="538">
        <f t="shared" si="37"/>
        <v>4.6565908480000008E-2</v>
      </c>
      <c r="BL46">
        <f t="shared" si="38"/>
        <v>9.2800000000000001E-3</v>
      </c>
      <c r="BM46">
        <f t="shared" si="91"/>
        <v>2.3625000000000002E-5</v>
      </c>
      <c r="BN46">
        <f t="shared" si="92"/>
        <v>0.12568979272819891</v>
      </c>
      <c r="BO46" s="469">
        <f t="shared" si="58"/>
        <v>125.68979272819891</v>
      </c>
      <c r="BP46" s="177">
        <f t="shared" si="93"/>
        <v>5.5735302056153437E-2</v>
      </c>
      <c r="BQ46" s="177">
        <f t="shared" si="94"/>
        <v>2.1764825514038359E-2</v>
      </c>
      <c r="BR46" s="538"/>
      <c r="BT46" s="469">
        <f t="shared" si="59"/>
        <v>77.500127570191793</v>
      </c>
      <c r="BU46" s="538">
        <f t="shared" si="43"/>
        <v>2.5102487070863253E-3</v>
      </c>
      <c r="BV46" s="538">
        <f t="shared" si="60"/>
        <v>1.9171179625251387E-3</v>
      </c>
      <c r="BW46" s="538">
        <f t="shared" si="95"/>
        <v>7.9879915105214117E-4</v>
      </c>
      <c r="BX46" s="538">
        <f t="shared" si="45"/>
        <v>0</v>
      </c>
      <c r="BY46" s="538">
        <f t="shared" si="96"/>
        <v>5.8557539704436022E-3</v>
      </c>
      <c r="BZ46" s="538">
        <f t="shared" si="61"/>
        <v>5.2261658206636053E-3</v>
      </c>
      <c r="CA46" s="641">
        <f t="shared" si="97"/>
        <v>6.5600000000000007E-3</v>
      </c>
      <c r="CB46" s="469">
        <f t="shared" si="62"/>
        <v>12.415753970443602</v>
      </c>
      <c r="CC46" s="177">
        <f t="shared" si="63"/>
        <v>0.21560567426883431</v>
      </c>
      <c r="CD46" s="5">
        <f t="shared" si="64"/>
        <v>1.968</v>
      </c>
      <c r="CE46" s="177">
        <f t="shared" si="65"/>
        <v>0.90126162575528734</v>
      </c>
      <c r="CF46" s="5">
        <f t="shared" si="66"/>
        <v>90.126162575528738</v>
      </c>
      <c r="CG46">
        <f t="shared" si="102"/>
        <v>41</v>
      </c>
      <c r="CI46" s="571">
        <f t="shared" si="98"/>
        <v>-50</v>
      </c>
      <c r="CJ46">
        <f t="shared" si="99"/>
        <v>-50</v>
      </c>
    </row>
    <row r="47" spans="5:88" x14ac:dyDescent="0.25">
      <c r="E47" s="174">
        <v>42</v>
      </c>
      <c r="F47" s="221">
        <f t="shared" si="103"/>
        <v>8.4000000000000005E-2</v>
      </c>
      <c r="G47" s="221">
        <f t="shared" si="100"/>
        <v>4.2000000000000003E-2</v>
      </c>
      <c r="H47" s="221">
        <f t="shared" si="70"/>
        <v>1.3440000000000001</v>
      </c>
      <c r="I47" s="221">
        <f t="shared" si="104"/>
        <v>0.67200000000000004</v>
      </c>
      <c r="J47" s="551">
        <f t="shared" si="1"/>
        <v>32</v>
      </c>
      <c r="K47" s="451">
        <f t="shared" si="2"/>
        <v>19.584</v>
      </c>
      <c r="L47" s="451">
        <f t="shared" si="3"/>
        <v>51.584000000000003</v>
      </c>
      <c r="M47" s="451"/>
      <c r="N47" s="221">
        <f t="shared" si="4"/>
        <v>0.37965260545905705</v>
      </c>
      <c r="O47" s="176">
        <f t="shared" si="101"/>
        <v>5.4669975186104214</v>
      </c>
      <c r="P47" s="176">
        <f t="shared" si="71"/>
        <v>2.7334987593052107</v>
      </c>
      <c r="Q47" s="221">
        <f t="shared" si="6"/>
        <v>0.34168734491315134</v>
      </c>
      <c r="R47" s="221">
        <f t="shared" si="72"/>
        <v>0.34168734491315134</v>
      </c>
      <c r="S47" s="451">
        <f t="shared" si="73"/>
        <v>16</v>
      </c>
      <c r="T47" s="221">
        <f t="shared" si="74"/>
        <v>0.36875816993464056</v>
      </c>
      <c r="U47" s="221">
        <f t="shared" si="10"/>
        <v>0.34571078431372554</v>
      </c>
      <c r="V47" s="221">
        <f t="shared" si="11"/>
        <v>0.56488690247340767</v>
      </c>
      <c r="W47" s="201">
        <f t="shared" si="12"/>
        <v>350</v>
      </c>
      <c r="X47" s="451">
        <f t="shared" si="52"/>
        <v>350</v>
      </c>
      <c r="Z47" s="221">
        <f t="shared" si="13"/>
        <v>1.1570365118752215</v>
      </c>
      <c r="AA47" s="177">
        <f t="shared" si="14"/>
        <v>1.7724211272598367</v>
      </c>
      <c r="AB47" s="177">
        <f t="shared" si="75"/>
        <v>0.2871058342122137</v>
      </c>
      <c r="AC47" s="177"/>
      <c r="AD47" s="177">
        <f t="shared" si="16"/>
        <v>0.4595588235294118</v>
      </c>
      <c r="AE47" s="555">
        <f t="shared" si="76"/>
        <v>1523.2000000000005</v>
      </c>
      <c r="AF47" s="538">
        <f t="shared" si="77"/>
        <v>1.9301470588235291E-2</v>
      </c>
      <c r="AH47" s="177">
        <f t="shared" si="78"/>
        <v>0.6196773353931867</v>
      </c>
      <c r="AI47" s="177">
        <f t="shared" si="79"/>
        <v>0.6196773353931867</v>
      </c>
      <c r="AJ47" s="177">
        <f t="shared" si="80"/>
        <v>1.4367980262171753</v>
      </c>
      <c r="AL47" s="555">
        <f t="shared" si="81"/>
        <v>84</v>
      </c>
      <c r="AM47" s="469">
        <f t="shared" si="82"/>
        <v>350</v>
      </c>
      <c r="AO47">
        <f t="shared" si="53"/>
        <v>84</v>
      </c>
      <c r="AP47" s="469">
        <f t="shared" si="24"/>
        <v>350</v>
      </c>
      <c r="AQ47" s="469"/>
      <c r="AR47" s="5">
        <f t="shared" si="54"/>
        <v>2.8571428571428572</v>
      </c>
      <c r="AS47" s="5">
        <f t="shared" si="25"/>
        <v>0.58094750193111255</v>
      </c>
      <c r="AT47" s="5">
        <f t="shared" si="55"/>
        <v>2.2761953552117449</v>
      </c>
      <c r="AU47" s="177">
        <f t="shared" si="56"/>
        <v>0.20333162567588939</v>
      </c>
      <c r="AW47" s="5">
        <f t="shared" si="83"/>
        <v>0.80504166666666677</v>
      </c>
      <c r="AX47" s="5">
        <f t="shared" si="84"/>
        <v>0.47921495999999997</v>
      </c>
      <c r="AY47" s="5">
        <f t="shared" si="85"/>
        <v>0.20126041666666669</v>
      </c>
      <c r="AZ47" s="5">
        <f t="shared" si="86"/>
        <v>0.34219881818181813</v>
      </c>
      <c r="BA47" s="5">
        <f t="shared" si="87"/>
        <v>9.9583546790513816E-2</v>
      </c>
      <c r="BB47" s="469">
        <f t="shared" si="88"/>
        <v>16.143367486482212</v>
      </c>
      <c r="BC47" s="5"/>
      <c r="BD47" s="177">
        <f t="shared" si="57"/>
        <v>0.16132714615499105</v>
      </c>
      <c r="BE47" s="177">
        <f t="shared" si="89"/>
        <v>0.25546638374672925</v>
      </c>
      <c r="BF47" s="177">
        <f t="shared" si="90"/>
        <v>0.12773319187336463</v>
      </c>
      <c r="BG47" s="177"/>
      <c r="BH47" s="538">
        <f t="shared" si="34"/>
        <v>9.1092568302798445E-3</v>
      </c>
      <c r="BI47" s="538">
        <f t="shared" si="35"/>
        <v>5.5939512420613756E-2</v>
      </c>
      <c r="BJ47" s="538">
        <f t="shared" si="36"/>
        <v>4.3749999999999995E-3</v>
      </c>
      <c r="BK47" s="538">
        <f t="shared" si="37"/>
        <v>4.6565908480000008E-2</v>
      </c>
      <c r="BL47">
        <f t="shared" si="38"/>
        <v>9.2800000000000001E-3</v>
      </c>
      <c r="BM47">
        <f t="shared" si="91"/>
        <v>2.3625000000000002E-5</v>
      </c>
      <c r="BN47">
        <f t="shared" si="92"/>
        <v>0.12673605234869864</v>
      </c>
      <c r="BO47" s="469">
        <f t="shared" si="58"/>
        <v>126.73605234869864</v>
      </c>
      <c r="BP47" s="177">
        <f t="shared" si="93"/>
        <v>5.7018493971809095E-2</v>
      </c>
      <c r="BQ47" s="177">
        <f t="shared" si="94"/>
        <v>2.2276623492952275E-2</v>
      </c>
      <c r="BR47" s="538"/>
      <c r="BT47" s="469">
        <f t="shared" si="59"/>
        <v>79.295117464761361</v>
      </c>
      <c r="BU47" s="538">
        <f t="shared" si="43"/>
        <v>2.6026448086513849E-3</v>
      </c>
      <c r="BV47" s="538">
        <f t="shared" si="60"/>
        <v>1.9578921967389339E-3</v>
      </c>
      <c r="BW47" s="538">
        <f t="shared" si="95"/>
        <v>8.1578841530788922E-4</v>
      </c>
      <c r="BX47" s="538">
        <f t="shared" si="45"/>
        <v>0</v>
      </c>
      <c r="BY47" s="538">
        <f t="shared" si="96"/>
        <v>6.0240754623855641E-3</v>
      </c>
      <c r="BZ47" s="538">
        <f t="shared" si="61"/>
        <v>5.3763254206982075E-3</v>
      </c>
      <c r="CA47" s="641">
        <f t="shared" si="97"/>
        <v>6.7200000000000011E-3</v>
      </c>
      <c r="CB47" s="469">
        <f t="shared" si="62"/>
        <v>12.744075462385565</v>
      </c>
      <c r="CC47" s="177">
        <f t="shared" si="63"/>
        <v>0.2187752452758456</v>
      </c>
      <c r="CD47" s="5">
        <f t="shared" si="64"/>
        <v>2.016</v>
      </c>
      <c r="CE47" s="177">
        <f t="shared" si="65"/>
        <v>0.90210413967206726</v>
      </c>
      <c r="CF47" s="5">
        <f t="shared" si="66"/>
        <v>90.210413967206733</v>
      </c>
      <c r="CG47">
        <f t="shared" si="102"/>
        <v>42</v>
      </c>
      <c r="CI47" s="571">
        <f t="shared" si="98"/>
        <v>-50</v>
      </c>
      <c r="CJ47">
        <f t="shared" si="99"/>
        <v>-50</v>
      </c>
    </row>
    <row r="48" spans="5:88" x14ac:dyDescent="0.25">
      <c r="E48" s="174">
        <v>43</v>
      </c>
      <c r="F48" s="221">
        <f t="shared" si="103"/>
        <v>8.6000000000000007E-2</v>
      </c>
      <c r="G48" s="221">
        <f t="shared" si="100"/>
        <v>4.3000000000000003E-2</v>
      </c>
      <c r="H48" s="221">
        <f t="shared" si="70"/>
        <v>1.3760000000000001</v>
      </c>
      <c r="I48" s="221">
        <f t="shared" si="104"/>
        <v>0.68800000000000006</v>
      </c>
      <c r="J48" s="551">
        <f t="shared" si="1"/>
        <v>32</v>
      </c>
      <c r="K48" s="451">
        <f t="shared" si="2"/>
        <v>19.584</v>
      </c>
      <c r="L48" s="451">
        <f t="shared" si="3"/>
        <v>51.584000000000003</v>
      </c>
      <c r="M48" s="451"/>
      <c r="N48" s="221">
        <f t="shared" si="4"/>
        <v>0.37965260545905705</v>
      </c>
      <c r="O48" s="176">
        <f t="shared" si="101"/>
        <v>5.4669975186104214</v>
      </c>
      <c r="P48" s="176">
        <f t="shared" si="71"/>
        <v>2.7334987593052107</v>
      </c>
      <c r="Q48" s="221">
        <f t="shared" si="6"/>
        <v>0.34168734491315134</v>
      </c>
      <c r="R48" s="221">
        <f t="shared" si="72"/>
        <v>0.34168734491315134</v>
      </c>
      <c r="S48" s="451">
        <f t="shared" si="73"/>
        <v>16</v>
      </c>
      <c r="T48" s="221">
        <f t="shared" si="74"/>
        <v>0.37753812636165579</v>
      </c>
      <c r="U48" s="221">
        <f t="shared" si="10"/>
        <v>0.35394199346405231</v>
      </c>
      <c r="V48" s="221">
        <f t="shared" si="11"/>
        <v>0.57833659062753651</v>
      </c>
      <c r="W48" s="201">
        <f t="shared" si="12"/>
        <v>350</v>
      </c>
      <c r="X48" s="451">
        <f t="shared" si="52"/>
        <v>350</v>
      </c>
      <c r="Z48" s="221">
        <f t="shared" si="13"/>
        <v>1.1570365118752215</v>
      </c>
      <c r="AA48" s="177">
        <f t="shared" si="14"/>
        <v>1.7724211272598367</v>
      </c>
      <c r="AB48" s="177">
        <f t="shared" si="75"/>
        <v>0.2871058342122137</v>
      </c>
      <c r="AC48" s="177"/>
      <c r="AD48" s="177">
        <f t="shared" si="16"/>
        <v>0.4595588235294118</v>
      </c>
      <c r="AE48" s="555">
        <f t="shared" si="76"/>
        <v>1559.4666666666672</v>
      </c>
      <c r="AF48" s="538">
        <f t="shared" si="77"/>
        <v>1.9301470588235291E-2</v>
      </c>
      <c r="AH48" s="177">
        <f t="shared" si="78"/>
        <v>0.62701105025578063</v>
      </c>
      <c r="AI48" s="177">
        <f t="shared" si="79"/>
        <v>0.62701105025578063</v>
      </c>
      <c r="AJ48" s="177">
        <f t="shared" si="80"/>
        <v>1.4422304075968746</v>
      </c>
      <c r="AL48" s="555">
        <f t="shared" si="81"/>
        <v>86</v>
      </c>
      <c r="AM48" s="469">
        <f t="shared" si="82"/>
        <v>350</v>
      </c>
      <c r="AO48">
        <f t="shared" si="53"/>
        <v>86</v>
      </c>
      <c r="AP48" s="469">
        <f t="shared" si="24"/>
        <v>350</v>
      </c>
      <c r="AQ48" s="469"/>
      <c r="AR48" s="5">
        <f t="shared" si="54"/>
        <v>2.8571428571428572</v>
      </c>
      <c r="AS48" s="5">
        <f t="shared" si="25"/>
        <v>0.5878228596147943</v>
      </c>
      <c r="AT48" s="5">
        <f t="shared" si="55"/>
        <v>2.2693199975280631</v>
      </c>
      <c r="AU48" s="177">
        <f t="shared" si="56"/>
        <v>0.20573800086517799</v>
      </c>
      <c r="AW48" s="5">
        <f t="shared" si="83"/>
        <v>0.80504166666666677</v>
      </c>
      <c r="AX48" s="5">
        <f t="shared" si="84"/>
        <v>0.49616352666666663</v>
      </c>
      <c r="AY48" s="5">
        <f t="shared" si="85"/>
        <v>0.20126041666666669</v>
      </c>
      <c r="AZ48" s="5">
        <f t="shared" si="86"/>
        <v>0.35664037121212122</v>
      </c>
      <c r="BA48" s="5">
        <f t="shared" si="87"/>
        <v>0.10164662488927782</v>
      </c>
      <c r="BB48" s="469">
        <f t="shared" si="88"/>
        <v>16.478459982284452</v>
      </c>
      <c r="BC48" s="5"/>
      <c r="BD48" s="177">
        <f t="shared" si="57"/>
        <v>0.16419949805343059</v>
      </c>
      <c r="BE48" s="177">
        <f t="shared" si="89"/>
        <v>0.25809907417005024</v>
      </c>
      <c r="BF48" s="177">
        <f t="shared" si="90"/>
        <v>0.12904953708502512</v>
      </c>
      <c r="BG48" s="177"/>
      <c r="BH48" s="538">
        <f t="shared" si="34"/>
        <v>9.4365163063494951E-3</v>
      </c>
      <c r="BI48" s="538">
        <f t="shared" si="35"/>
        <v>5.6601541528689833E-2</v>
      </c>
      <c r="BJ48" s="538">
        <f t="shared" si="36"/>
        <v>4.3749999999999995E-3</v>
      </c>
      <c r="BK48" s="538">
        <f t="shared" si="37"/>
        <v>4.6565908480000008E-2</v>
      </c>
      <c r="BL48">
        <f t="shared" si="38"/>
        <v>9.2800000000000001E-3</v>
      </c>
      <c r="BM48">
        <f t="shared" si="91"/>
        <v>2.3625000000000002E-5</v>
      </c>
      <c r="BN48">
        <f t="shared" si="92"/>
        <v>0.12777898899709667</v>
      </c>
      <c r="BO48" s="469">
        <f t="shared" si="58"/>
        <v>127.77898899709666</v>
      </c>
      <c r="BP48" s="177">
        <f t="shared" si="93"/>
        <v>5.8298980457400978E-2</v>
      </c>
      <c r="BQ48" s="177">
        <f t="shared" si="94"/>
        <v>2.2787745114350246E-2</v>
      </c>
      <c r="BR48" s="538"/>
      <c r="BT48" s="469">
        <f t="shared" si="59"/>
        <v>81.086725571751231</v>
      </c>
      <c r="BU48" s="538">
        <f t="shared" si="43"/>
        <v>2.6961475160998559E-3</v>
      </c>
      <c r="BV48" s="538">
        <f t="shared" si="60"/>
        <v>1.9984539626231126E-3</v>
      </c>
      <c r="BW48" s="538">
        <f t="shared" si="95"/>
        <v>8.3268915109296373E-4</v>
      </c>
      <c r="BX48" s="538">
        <f t="shared" si="45"/>
        <v>0</v>
      </c>
      <c r="BY48" s="538">
        <f t="shared" si="96"/>
        <v>6.1933040807228834E-3</v>
      </c>
      <c r="BZ48" s="538">
        <f t="shared" si="61"/>
        <v>5.5272906298159327E-3</v>
      </c>
      <c r="CA48" s="641">
        <f t="shared" si="97"/>
        <v>6.879999999999999E-3</v>
      </c>
      <c r="CB48" s="469">
        <f t="shared" si="62"/>
        <v>13.073304080722883</v>
      </c>
      <c r="CC48" s="177">
        <f t="shared" si="63"/>
        <v>0.22193901864957077</v>
      </c>
      <c r="CD48" s="5">
        <f t="shared" si="64"/>
        <v>2.0640000000000001</v>
      </c>
      <c r="CE48" s="177">
        <f t="shared" si="65"/>
        <v>0.90291122517315348</v>
      </c>
      <c r="CF48" s="5">
        <f t="shared" si="66"/>
        <v>90.291122517315344</v>
      </c>
      <c r="CG48">
        <f t="shared" si="102"/>
        <v>43</v>
      </c>
      <c r="CI48" s="571">
        <f t="shared" si="98"/>
        <v>-50</v>
      </c>
      <c r="CJ48">
        <f t="shared" si="99"/>
        <v>-50</v>
      </c>
    </row>
    <row r="49" spans="5:88" x14ac:dyDescent="0.25">
      <c r="E49" s="174">
        <v>44</v>
      </c>
      <c r="F49" s="221">
        <f t="shared" si="103"/>
        <v>8.8000000000000009E-2</v>
      </c>
      <c r="G49" s="221">
        <f t="shared" si="100"/>
        <v>4.4000000000000004E-2</v>
      </c>
      <c r="H49" s="221">
        <f t="shared" si="70"/>
        <v>1.4080000000000001</v>
      </c>
      <c r="I49" s="221">
        <f t="shared" si="104"/>
        <v>0.70400000000000007</v>
      </c>
      <c r="J49" s="551">
        <f t="shared" si="1"/>
        <v>32</v>
      </c>
      <c r="K49" s="451">
        <f t="shared" si="2"/>
        <v>19.584</v>
      </c>
      <c r="L49" s="451">
        <f t="shared" si="3"/>
        <v>51.584000000000003</v>
      </c>
      <c r="M49" s="451"/>
      <c r="N49" s="221">
        <f t="shared" si="4"/>
        <v>0.37965260545905705</v>
      </c>
      <c r="O49" s="176">
        <f t="shared" si="101"/>
        <v>5.4669975186104214</v>
      </c>
      <c r="P49" s="176">
        <f t="shared" si="71"/>
        <v>2.7334987593052107</v>
      </c>
      <c r="Q49" s="221">
        <f t="shared" si="6"/>
        <v>0.34168734491315134</v>
      </c>
      <c r="R49" s="221">
        <f t="shared" si="72"/>
        <v>0.34168734491315134</v>
      </c>
      <c r="S49" s="451">
        <f t="shared" si="73"/>
        <v>16</v>
      </c>
      <c r="T49" s="221">
        <f t="shared" si="74"/>
        <v>0.38631808278867108</v>
      </c>
      <c r="U49" s="221">
        <f t="shared" si="10"/>
        <v>0.36217320261437913</v>
      </c>
      <c r="V49" s="221">
        <f t="shared" si="11"/>
        <v>0.59178627878166523</v>
      </c>
      <c r="W49" s="201">
        <f t="shared" si="12"/>
        <v>350</v>
      </c>
      <c r="X49" s="451">
        <f t="shared" si="52"/>
        <v>350</v>
      </c>
      <c r="Z49" s="221">
        <f t="shared" si="13"/>
        <v>1.1570365118752215</v>
      </c>
      <c r="AA49" s="177">
        <f t="shared" si="14"/>
        <v>1.7724211272598367</v>
      </c>
      <c r="AB49" s="177">
        <f t="shared" si="75"/>
        <v>0.2871058342122137</v>
      </c>
      <c r="AC49" s="177"/>
      <c r="AD49" s="177">
        <f t="shared" si="16"/>
        <v>0.4595588235294118</v>
      </c>
      <c r="AE49" s="555">
        <f t="shared" si="76"/>
        <v>1595.733333333334</v>
      </c>
      <c r="AF49" s="538">
        <f t="shared" si="77"/>
        <v>1.9301470588235291E-2</v>
      </c>
      <c r="AH49" s="177">
        <f t="shared" si="78"/>
        <v>0.63425997373767351</v>
      </c>
      <c r="AI49" s="177">
        <f t="shared" si="79"/>
        <v>0.63425997373767351</v>
      </c>
      <c r="AJ49" s="177">
        <f t="shared" si="80"/>
        <v>1.4475999805464248</v>
      </c>
      <c r="AL49" s="555">
        <f t="shared" si="81"/>
        <v>88.000000000000014</v>
      </c>
      <c r="AM49" s="469">
        <f t="shared" si="82"/>
        <v>350</v>
      </c>
      <c r="AO49">
        <f t="shared" si="53"/>
        <v>88.000000000000014</v>
      </c>
      <c r="AP49" s="469">
        <f t="shared" si="24"/>
        <v>350</v>
      </c>
      <c r="AQ49" s="469"/>
      <c r="AR49" s="5">
        <f t="shared" si="54"/>
        <v>2.8571428571428572</v>
      </c>
      <c r="AS49" s="5">
        <f t="shared" si="25"/>
        <v>0.5946187253790689</v>
      </c>
      <c r="AT49" s="5">
        <f t="shared" si="55"/>
        <v>2.2625241317637883</v>
      </c>
      <c r="AU49" s="177">
        <f t="shared" si="56"/>
        <v>0.20811655388267411</v>
      </c>
      <c r="AW49" s="5">
        <f t="shared" si="83"/>
        <v>0.80504166666666677</v>
      </c>
      <c r="AX49" s="5">
        <f t="shared" si="84"/>
        <v>0.5133697066666667</v>
      </c>
      <c r="AY49" s="5">
        <f t="shared" si="85"/>
        <v>0.20126041666666669</v>
      </c>
      <c r="AZ49" s="5">
        <f t="shared" si="86"/>
        <v>0.37137466666666669</v>
      </c>
      <c r="BA49" s="5">
        <f t="shared" si="87"/>
        <v>0.10369902270584029</v>
      </c>
      <c r="BB49" s="469">
        <f t="shared" si="88"/>
        <v>16.811843632934448</v>
      </c>
      <c r="BC49" s="5"/>
      <c r="BD49" s="177">
        <f t="shared" si="57"/>
        <v>0.16705519699924823</v>
      </c>
      <c r="BE49" s="177">
        <f t="shared" si="89"/>
        <v>0.26069175575859604</v>
      </c>
      <c r="BF49" s="177">
        <f t="shared" si="90"/>
        <v>0.13034587787929802</v>
      </c>
      <c r="BG49" s="177"/>
      <c r="BH49" s="538">
        <f t="shared" si="34"/>
        <v>9.7676035955601721E-3</v>
      </c>
      <c r="BI49" s="538">
        <f t="shared" si="35"/>
        <v>5.7255916349247274E-2</v>
      </c>
      <c r="BJ49" s="538">
        <f t="shared" si="36"/>
        <v>4.3749999999999995E-3</v>
      </c>
      <c r="BK49" s="538">
        <f t="shared" si="37"/>
        <v>4.6565908480000008E-2</v>
      </c>
      <c r="BL49">
        <f t="shared" si="38"/>
        <v>9.2800000000000001E-3</v>
      </c>
      <c r="BM49">
        <f t="shared" si="91"/>
        <v>2.3625000000000002E-5</v>
      </c>
      <c r="BN49">
        <f t="shared" si="92"/>
        <v>0.12881882726405453</v>
      </c>
      <c r="BO49" s="469">
        <f t="shared" si="58"/>
        <v>128.81882726405453</v>
      </c>
      <c r="BP49" s="177">
        <f t="shared" si="93"/>
        <v>5.957679316083081E-2</v>
      </c>
      <c r="BQ49" s="177">
        <f t="shared" si="94"/>
        <v>2.3298198290207704E-2</v>
      </c>
      <c r="BR49" s="538"/>
      <c r="BT49" s="469">
        <f t="shared" si="59"/>
        <v>82.874991451038525</v>
      </c>
      <c r="BU49" s="538">
        <f t="shared" si="43"/>
        <v>2.7907438844457636E-3</v>
      </c>
      <c r="BV49" s="538">
        <f t="shared" si="60"/>
        <v>2.0388057456149846E-3</v>
      </c>
      <c r="BW49" s="538">
        <f t="shared" si="95"/>
        <v>8.4950239400624367E-4</v>
      </c>
      <c r="BX49" s="538">
        <f t="shared" si="45"/>
        <v>0</v>
      </c>
      <c r="BY49" s="538">
        <f t="shared" si="96"/>
        <v>6.3634293266508334E-3</v>
      </c>
      <c r="BZ49" s="538">
        <f t="shared" si="61"/>
        <v>5.6790520240669919E-3</v>
      </c>
      <c r="CA49" s="641">
        <f t="shared" si="97"/>
        <v>7.0400000000000011E-3</v>
      </c>
      <c r="CB49" s="469">
        <f t="shared" si="62"/>
        <v>13.403429326650835</v>
      </c>
      <c r="CC49" s="177">
        <f t="shared" si="63"/>
        <v>0.22509724804174386</v>
      </c>
      <c r="CD49" s="5">
        <f t="shared" si="64"/>
        <v>2.1120000000000001</v>
      </c>
      <c r="CE49" s="177">
        <f t="shared" si="65"/>
        <v>0.90368511698417642</v>
      </c>
      <c r="CF49" s="5">
        <f t="shared" si="66"/>
        <v>90.368511698417649</v>
      </c>
      <c r="CG49">
        <f t="shared" si="102"/>
        <v>44</v>
      </c>
      <c r="CI49" s="571">
        <f t="shared" si="98"/>
        <v>-50</v>
      </c>
      <c r="CJ49">
        <f t="shared" si="99"/>
        <v>-50</v>
      </c>
    </row>
    <row r="50" spans="5:88" x14ac:dyDescent="0.25">
      <c r="E50" s="174">
        <v>45</v>
      </c>
      <c r="F50" s="221">
        <f t="shared" si="103"/>
        <v>9.0000000000000011E-2</v>
      </c>
      <c r="G50" s="221">
        <f t="shared" si="100"/>
        <v>4.5000000000000005E-2</v>
      </c>
      <c r="H50" s="221">
        <f t="shared" si="70"/>
        <v>1.4400000000000002</v>
      </c>
      <c r="I50" s="221">
        <f t="shared" si="104"/>
        <v>0.72000000000000008</v>
      </c>
      <c r="J50" s="551">
        <f t="shared" si="1"/>
        <v>32</v>
      </c>
      <c r="K50" s="451">
        <f t="shared" si="2"/>
        <v>19.584</v>
      </c>
      <c r="L50" s="451">
        <f t="shared" si="3"/>
        <v>51.584000000000003</v>
      </c>
      <c r="M50" s="451"/>
      <c r="N50" s="221">
        <f t="shared" si="4"/>
        <v>0.37965260545905705</v>
      </c>
      <c r="O50" s="176">
        <f t="shared" si="101"/>
        <v>5.4669975186104214</v>
      </c>
      <c r="P50" s="176">
        <f t="shared" si="71"/>
        <v>2.7334987593052107</v>
      </c>
      <c r="Q50" s="221">
        <f t="shared" si="6"/>
        <v>0.34168734491315134</v>
      </c>
      <c r="R50" s="221">
        <f t="shared" si="72"/>
        <v>0.34168734491315134</v>
      </c>
      <c r="S50" s="451">
        <f t="shared" si="73"/>
        <v>16</v>
      </c>
      <c r="T50" s="221">
        <f t="shared" si="74"/>
        <v>0.39509803921568631</v>
      </c>
      <c r="U50" s="221">
        <f t="shared" si="10"/>
        <v>0.37040441176470595</v>
      </c>
      <c r="V50" s="221">
        <f t="shared" si="11"/>
        <v>0.60523596693579407</v>
      </c>
      <c r="W50" s="201">
        <f t="shared" si="12"/>
        <v>350</v>
      </c>
      <c r="X50" s="451">
        <f t="shared" si="52"/>
        <v>350</v>
      </c>
      <c r="Z50" s="221">
        <f t="shared" si="13"/>
        <v>1.1570365118752215</v>
      </c>
      <c r="AA50" s="177">
        <f t="shared" si="14"/>
        <v>1.7724211272598367</v>
      </c>
      <c r="AB50" s="177">
        <f t="shared" si="75"/>
        <v>0.2871058342122137</v>
      </c>
      <c r="AC50" s="177"/>
      <c r="AD50" s="177">
        <f t="shared" si="16"/>
        <v>0.4595588235294118</v>
      </c>
      <c r="AE50" s="555">
        <f t="shared" si="76"/>
        <v>1632.0000000000005</v>
      </c>
      <c r="AF50" s="538">
        <f t="shared" si="77"/>
        <v>1.9301470588235291E-2</v>
      </c>
      <c r="AH50" s="177">
        <f t="shared" si="78"/>
        <v>0.64142698058981851</v>
      </c>
      <c r="AI50" s="177">
        <f t="shared" si="79"/>
        <v>0.64142698058981851</v>
      </c>
      <c r="AJ50" s="177">
        <f t="shared" si="80"/>
        <v>1.4529088745109766</v>
      </c>
      <c r="AL50" s="555">
        <f t="shared" si="81"/>
        <v>90.000000000000014</v>
      </c>
      <c r="AM50" s="469">
        <f t="shared" si="82"/>
        <v>350</v>
      </c>
      <c r="AO50">
        <f t="shared" si="53"/>
        <v>90.000000000000014</v>
      </c>
      <c r="AP50" s="469">
        <f t="shared" si="24"/>
        <v>350</v>
      </c>
      <c r="AQ50" s="469"/>
      <c r="AR50" s="5">
        <f t="shared" si="54"/>
        <v>2.8571428571428572</v>
      </c>
      <c r="AS50" s="5">
        <f t="shared" si="25"/>
        <v>0.60133779430295486</v>
      </c>
      <c r="AT50" s="5">
        <f t="shared" si="55"/>
        <v>2.2558050628399022</v>
      </c>
      <c r="AU50" s="177">
        <f t="shared" si="56"/>
        <v>0.21046822800603421</v>
      </c>
      <c r="AW50" s="5">
        <f t="shared" si="83"/>
        <v>0.80504166666666677</v>
      </c>
      <c r="AX50" s="5">
        <f t="shared" si="84"/>
        <v>0.53083349999999996</v>
      </c>
      <c r="AY50" s="5">
        <f t="shared" si="85"/>
        <v>0.20126041666666669</v>
      </c>
      <c r="AZ50" s="5">
        <f t="shared" si="86"/>
        <v>0.38640170454545453</v>
      </c>
      <c r="BA50" s="5">
        <f t="shared" si="87"/>
        <v>0.10574086232062041</v>
      </c>
      <c r="BB50" s="469">
        <f t="shared" si="88"/>
        <v>17.143537971299267</v>
      </c>
      <c r="BC50" s="5"/>
      <c r="BD50" s="177">
        <f t="shared" si="57"/>
        <v>0.16989471482816007</v>
      </c>
      <c r="BE50" s="177">
        <f t="shared" si="89"/>
        <v>0.26324576260681154</v>
      </c>
      <c r="BF50" s="177">
        <f t="shared" si="90"/>
        <v>0.13162288130340577</v>
      </c>
      <c r="BG50" s="177"/>
      <c r="BH50" s="538">
        <f t="shared" si="34"/>
        <v>1.010247494428964E-2</v>
      </c>
      <c r="BI50" s="538">
        <f t="shared" si="35"/>
        <v>5.7902896391804098E-2</v>
      </c>
      <c r="BJ50" s="538">
        <f t="shared" si="36"/>
        <v>4.3749999999999995E-3</v>
      </c>
      <c r="BK50" s="538">
        <f t="shared" si="37"/>
        <v>4.6565908480000008E-2</v>
      </c>
      <c r="BL50">
        <f t="shared" si="38"/>
        <v>9.2800000000000001E-3</v>
      </c>
      <c r="BM50">
        <f t="shared" si="91"/>
        <v>2.3625000000000002E-5</v>
      </c>
      <c r="BN50">
        <f t="shared" si="92"/>
        <v>0.12985577797873038</v>
      </c>
      <c r="BO50" s="469">
        <f t="shared" si="58"/>
        <v>129.85577797873037</v>
      </c>
      <c r="BP50" s="177">
        <f t="shared" si="93"/>
        <v>6.0851962644628763E-2</v>
      </c>
      <c r="BQ50" s="177">
        <f t="shared" si="94"/>
        <v>2.3807990661157193E-2</v>
      </c>
      <c r="BR50" s="538"/>
      <c r="BT50" s="469">
        <f t="shared" si="59"/>
        <v>84.659953305785962</v>
      </c>
      <c r="BU50" s="538">
        <f t="shared" si="43"/>
        <v>2.8864214126541835E-3</v>
      </c>
      <c r="BV50" s="538">
        <f t="shared" si="60"/>
        <v>2.0789499459132532E-3</v>
      </c>
      <c r="BW50" s="538">
        <f t="shared" si="95"/>
        <v>8.6622914413052223E-4</v>
      </c>
      <c r="BX50" s="538">
        <f t="shared" si="45"/>
        <v>0</v>
      </c>
      <c r="BY50" s="538">
        <f t="shared" si="96"/>
        <v>6.534441063004744E-3</v>
      </c>
      <c r="BZ50" s="538">
        <f t="shared" si="61"/>
        <v>5.8316005026979589E-3</v>
      </c>
      <c r="CA50" s="641">
        <f t="shared" si="97"/>
        <v>7.2000000000000007E-3</v>
      </c>
      <c r="CB50" s="469">
        <f t="shared" si="62"/>
        <v>13.734441063004743</v>
      </c>
      <c r="CC50" s="177">
        <f t="shared" si="63"/>
        <v>0.2282501723475211</v>
      </c>
      <c r="CD50" s="5">
        <f t="shared" si="64"/>
        <v>2.16</v>
      </c>
      <c r="CE50" s="177">
        <f t="shared" si="65"/>
        <v>0.90442786313162349</v>
      </c>
      <c r="CF50" s="5">
        <f t="shared" si="66"/>
        <v>90.442786313162344</v>
      </c>
      <c r="CG50">
        <f t="shared" si="102"/>
        <v>45</v>
      </c>
      <c r="CI50" s="571">
        <f t="shared" si="98"/>
        <v>-50</v>
      </c>
      <c r="CJ50">
        <f t="shared" si="99"/>
        <v>-50</v>
      </c>
    </row>
    <row r="51" spans="5:88" x14ac:dyDescent="0.25">
      <c r="E51" s="174">
        <v>46</v>
      </c>
      <c r="F51" s="221">
        <f t="shared" si="103"/>
        <v>9.2000000000000012E-2</v>
      </c>
      <c r="G51" s="221">
        <f t="shared" si="100"/>
        <v>4.6000000000000006E-2</v>
      </c>
      <c r="H51" s="221">
        <f t="shared" si="70"/>
        <v>1.4720000000000002</v>
      </c>
      <c r="I51" s="221">
        <f t="shared" si="104"/>
        <v>0.7360000000000001</v>
      </c>
      <c r="J51" s="551">
        <f t="shared" si="1"/>
        <v>32</v>
      </c>
      <c r="K51" s="451">
        <f t="shared" si="2"/>
        <v>19.584</v>
      </c>
      <c r="L51" s="451">
        <f t="shared" si="3"/>
        <v>51.584000000000003</v>
      </c>
      <c r="M51" s="451"/>
      <c r="N51" s="221">
        <f t="shared" si="4"/>
        <v>0.37965260545905705</v>
      </c>
      <c r="O51" s="176">
        <f t="shared" si="101"/>
        <v>5.4669975186104214</v>
      </c>
      <c r="P51" s="176">
        <f t="shared" si="71"/>
        <v>2.7334987593052107</v>
      </c>
      <c r="Q51" s="221">
        <f t="shared" si="6"/>
        <v>0.34168734491315134</v>
      </c>
      <c r="R51" s="221">
        <f t="shared" si="72"/>
        <v>0.34168734491315134</v>
      </c>
      <c r="S51" s="451">
        <f t="shared" si="73"/>
        <v>16</v>
      </c>
      <c r="T51" s="221">
        <f t="shared" si="74"/>
        <v>0.4038779956427016</v>
      </c>
      <c r="U51" s="221">
        <f t="shared" si="10"/>
        <v>0.37863562091503278</v>
      </c>
      <c r="V51" s="221">
        <f t="shared" si="11"/>
        <v>0.61868565508992279</v>
      </c>
      <c r="W51" s="201">
        <f t="shared" si="12"/>
        <v>350</v>
      </c>
      <c r="X51" s="451">
        <f t="shared" si="52"/>
        <v>350</v>
      </c>
      <c r="Z51" s="221">
        <f t="shared" si="13"/>
        <v>1.1570365118752215</v>
      </c>
      <c r="AA51" s="177">
        <f t="shared" si="14"/>
        <v>1.7724211272598367</v>
      </c>
      <c r="AB51" s="177">
        <f t="shared" si="75"/>
        <v>0.2871058342122137</v>
      </c>
      <c r="AC51" s="177"/>
      <c r="AD51" s="177">
        <f t="shared" si="16"/>
        <v>0.4595588235294118</v>
      </c>
      <c r="AE51" s="555">
        <f t="shared" si="76"/>
        <v>1668.2666666666671</v>
      </c>
      <c r="AF51" s="538">
        <f t="shared" si="77"/>
        <v>1.9301470588235291E-2</v>
      </c>
      <c r="AH51" s="177">
        <f t="shared" si="78"/>
        <v>0.64851478670222207</v>
      </c>
      <c r="AI51" s="177">
        <f t="shared" si="79"/>
        <v>0.64851478670222207</v>
      </c>
      <c r="AJ51" s="177">
        <f t="shared" si="80"/>
        <v>1.4581591012609052</v>
      </c>
      <c r="AL51" s="555">
        <f t="shared" si="81"/>
        <v>92.000000000000014</v>
      </c>
      <c r="AM51" s="469">
        <f t="shared" si="82"/>
        <v>350</v>
      </c>
      <c r="AO51">
        <f t="shared" si="53"/>
        <v>92.000000000000014</v>
      </c>
      <c r="AP51" s="469">
        <f t="shared" si="24"/>
        <v>350</v>
      </c>
      <c r="AQ51" s="469"/>
      <c r="AR51" s="5">
        <f t="shared" si="54"/>
        <v>2.8571428571428572</v>
      </c>
      <c r="AS51" s="5">
        <f t="shared" si="25"/>
        <v>0.60798261253333319</v>
      </c>
      <c r="AT51" s="5">
        <f t="shared" si="55"/>
        <v>2.249160244609524</v>
      </c>
      <c r="AU51" s="177">
        <f t="shared" si="56"/>
        <v>0.21279391438666662</v>
      </c>
      <c r="AW51" s="5">
        <f t="shared" si="83"/>
        <v>0.80504166666666677</v>
      </c>
      <c r="AX51" s="5">
        <f t="shared" si="84"/>
        <v>0.54855490666666673</v>
      </c>
      <c r="AY51" s="5">
        <f t="shared" si="85"/>
        <v>0.20126041666666669</v>
      </c>
      <c r="AZ51" s="5">
        <f t="shared" si="86"/>
        <v>0.40172148484848486</v>
      </c>
      <c r="BA51" s="5">
        <f t="shared" si="87"/>
        <v>0.10777226172087304</v>
      </c>
      <c r="BB51" s="469">
        <f t="shared" si="88"/>
        <v>17.473561875339687</v>
      </c>
      <c r="BC51" s="5"/>
      <c r="BD51" s="177">
        <f t="shared" si="57"/>
        <v>0.17271849984382742</v>
      </c>
      <c r="BE51" s="177">
        <f t="shared" si="89"/>
        <v>0.26576235519988778</v>
      </c>
      <c r="BF51" s="177">
        <f t="shared" si="90"/>
        <v>0.13288117759994389</v>
      </c>
      <c r="BG51" s="177"/>
      <c r="BH51" s="538">
        <f t="shared" si="34"/>
        <v>1.0441088065905773E-2</v>
      </c>
      <c r="BI51" s="538">
        <f t="shared" si="35"/>
        <v>5.8542726825182988E-2</v>
      </c>
      <c r="BJ51" s="538">
        <f t="shared" si="36"/>
        <v>4.3749999999999995E-3</v>
      </c>
      <c r="BK51" s="538">
        <f t="shared" si="37"/>
        <v>4.6565908480000008E-2</v>
      </c>
      <c r="BL51">
        <f t="shared" si="38"/>
        <v>9.2800000000000001E-3</v>
      </c>
      <c r="BM51">
        <f t="shared" si="91"/>
        <v>2.3625000000000002E-5</v>
      </c>
      <c r="BN51">
        <f t="shared" si="92"/>
        <v>0.13089003931184223</v>
      </c>
      <c r="BO51" s="469">
        <f t="shared" si="58"/>
        <v>130.89003931184223</v>
      </c>
      <c r="BP51" s="177">
        <f t="shared" si="93"/>
        <v>6.2124518446611487E-2</v>
      </c>
      <c r="BQ51" s="177">
        <f t="shared" si="94"/>
        <v>2.4317129611652871E-2</v>
      </c>
      <c r="BR51" s="538"/>
      <c r="BT51" s="469">
        <f t="shared" si="59"/>
        <v>86.441648058264363</v>
      </c>
      <c r="BU51" s="538">
        <f t="shared" si="43"/>
        <v>2.9831680188302217E-3</v>
      </c>
      <c r="BV51" s="538">
        <f t="shared" si="60"/>
        <v>2.1188888832417391E-3</v>
      </c>
      <c r="BW51" s="538">
        <f t="shared" si="95"/>
        <v>8.8287036801739142E-4</v>
      </c>
      <c r="BX51" s="538">
        <f t="shared" si="45"/>
        <v>0</v>
      </c>
      <c r="BY51" s="538">
        <f t="shared" si="96"/>
        <v>6.7063294940417637E-3</v>
      </c>
      <c r="BZ51" s="538">
        <f t="shared" si="61"/>
        <v>5.9849272700893529E-3</v>
      </c>
      <c r="CA51" s="641">
        <f t="shared" si="97"/>
        <v>7.360000000000002E-3</v>
      </c>
      <c r="CB51" s="469">
        <f t="shared" si="62"/>
        <v>14.066329494041765</v>
      </c>
      <c r="CC51" s="177">
        <f t="shared" si="63"/>
        <v>0.23139801686414835</v>
      </c>
      <c r="CD51" s="5">
        <f t="shared" si="64"/>
        <v>2.2080000000000002</v>
      </c>
      <c r="CE51" s="177">
        <f t="shared" si="65"/>
        <v>0.90514134419047743</v>
      </c>
      <c r="CF51" s="5">
        <f t="shared" si="66"/>
        <v>90.514134419047735</v>
      </c>
      <c r="CG51">
        <f t="shared" si="102"/>
        <v>46</v>
      </c>
      <c r="CI51" s="571">
        <f t="shared" si="98"/>
        <v>-50</v>
      </c>
      <c r="CJ51">
        <f t="shared" si="99"/>
        <v>-50</v>
      </c>
    </row>
    <row r="52" spans="5:88" x14ac:dyDescent="0.25">
      <c r="E52" s="174">
        <v>47</v>
      </c>
      <c r="F52" s="221">
        <f t="shared" si="103"/>
        <v>9.4E-2</v>
      </c>
      <c r="G52" s="221">
        <f t="shared" si="100"/>
        <v>4.7E-2</v>
      </c>
      <c r="H52" s="221">
        <f t="shared" si="70"/>
        <v>1.504</v>
      </c>
      <c r="I52" s="221">
        <f t="shared" si="104"/>
        <v>0.752</v>
      </c>
      <c r="J52" s="551">
        <f t="shared" si="1"/>
        <v>32</v>
      </c>
      <c r="K52" s="451">
        <f t="shared" si="2"/>
        <v>19.584</v>
      </c>
      <c r="L52" s="451">
        <f t="shared" si="3"/>
        <v>51.584000000000003</v>
      </c>
      <c r="M52" s="451"/>
      <c r="N52" s="221">
        <f t="shared" si="4"/>
        <v>0.37965260545905705</v>
      </c>
      <c r="O52" s="176">
        <f t="shared" si="101"/>
        <v>5.4669975186104214</v>
      </c>
      <c r="P52" s="176">
        <f t="shared" si="71"/>
        <v>2.7334987593052107</v>
      </c>
      <c r="Q52" s="221">
        <f t="shared" si="6"/>
        <v>0.34168734491315134</v>
      </c>
      <c r="R52" s="221">
        <f t="shared" si="72"/>
        <v>0.34168734491315134</v>
      </c>
      <c r="S52" s="451">
        <f t="shared" si="73"/>
        <v>16</v>
      </c>
      <c r="T52" s="221">
        <f t="shared" si="74"/>
        <v>0.41265795206971684</v>
      </c>
      <c r="U52" s="221">
        <f t="shared" si="10"/>
        <v>0.38686683006535955</v>
      </c>
      <c r="V52" s="221">
        <f t="shared" si="11"/>
        <v>0.63213534324405163</v>
      </c>
      <c r="W52" s="201">
        <f t="shared" si="12"/>
        <v>350</v>
      </c>
      <c r="X52" s="451">
        <f t="shared" si="52"/>
        <v>350</v>
      </c>
      <c r="Z52" s="221">
        <f t="shared" si="13"/>
        <v>1.1570365118752215</v>
      </c>
      <c r="AA52" s="177">
        <f t="shared" si="14"/>
        <v>1.7724211272598367</v>
      </c>
      <c r="AB52" s="177">
        <f t="shared" si="75"/>
        <v>0.2871058342122137</v>
      </c>
      <c r="AC52" s="177"/>
      <c r="AD52" s="177">
        <f t="shared" si="16"/>
        <v>0.4595588235294118</v>
      </c>
      <c r="AE52" s="555">
        <f t="shared" si="76"/>
        <v>1704.533333333334</v>
      </c>
      <c r="AF52" s="538">
        <f t="shared" si="77"/>
        <v>1.9301470588235291E-2</v>
      </c>
      <c r="AH52" s="177">
        <f t="shared" si="78"/>
        <v>0.6555259611291423</v>
      </c>
      <c r="AI52" s="177">
        <f t="shared" si="79"/>
        <v>0.6555259611291423</v>
      </c>
      <c r="AJ52" s="177">
        <f t="shared" si="80"/>
        <v>1.4633525637993645</v>
      </c>
      <c r="AL52" s="555">
        <f t="shared" si="81"/>
        <v>94</v>
      </c>
      <c r="AM52" s="469">
        <f t="shared" si="82"/>
        <v>350</v>
      </c>
      <c r="AO52">
        <f t="shared" si="53"/>
        <v>94</v>
      </c>
      <c r="AP52" s="469">
        <f t="shared" si="24"/>
        <v>350</v>
      </c>
      <c r="AQ52" s="469"/>
      <c r="AR52" s="5">
        <f t="shared" si="54"/>
        <v>2.8571428571428572</v>
      </c>
      <c r="AS52" s="5">
        <f t="shared" si="25"/>
        <v>0.61455558855857095</v>
      </c>
      <c r="AT52" s="5">
        <f t="shared" si="55"/>
        <v>2.2425872685842863</v>
      </c>
      <c r="AU52" s="177">
        <f t="shared" si="56"/>
        <v>0.21509445599549984</v>
      </c>
      <c r="AW52" s="5">
        <f t="shared" si="83"/>
        <v>0.80504166666666677</v>
      </c>
      <c r="AX52" s="5">
        <f t="shared" si="84"/>
        <v>0.56653392666666669</v>
      </c>
      <c r="AY52" s="5">
        <f t="shared" si="85"/>
        <v>0.20126041666666669</v>
      </c>
      <c r="AZ52" s="5">
        <f t="shared" si="86"/>
        <v>0.41733400757575745</v>
      </c>
      <c r="BA52" s="5">
        <f t="shared" si="87"/>
        <v>0.10979333502443901</v>
      </c>
      <c r="BB52" s="469">
        <f t="shared" si="88"/>
        <v>17.801933603910239</v>
      </c>
      <c r="BC52" s="5"/>
      <c r="BD52" s="177">
        <f t="shared" si="57"/>
        <v>0.17552697847644302</v>
      </c>
      <c r="BE52" s="177">
        <f t="shared" si="89"/>
        <v>0.26824272598081078</v>
      </c>
      <c r="BF52" s="177">
        <f t="shared" si="90"/>
        <v>0.13412136299040539</v>
      </c>
      <c r="BG52" s="177"/>
      <c r="BH52" s="538">
        <f t="shared" si="34"/>
        <v>1.0783402060574392E-2</v>
      </c>
      <c r="BI52" s="538">
        <f t="shared" si="35"/>
        <v>5.9175639563049935E-2</v>
      </c>
      <c r="BJ52" s="538">
        <f t="shared" si="36"/>
        <v>4.3749999999999995E-3</v>
      </c>
      <c r="BK52" s="538">
        <f t="shared" si="37"/>
        <v>4.6565908480000008E-2</v>
      </c>
      <c r="BL52">
        <f t="shared" si="38"/>
        <v>9.2800000000000001E-3</v>
      </c>
      <c r="BM52">
        <f t="shared" si="91"/>
        <v>2.3625000000000002E-5</v>
      </c>
      <c r="BN52">
        <f t="shared" si="92"/>
        <v>0.13192179776930044</v>
      </c>
      <c r="BO52" s="469">
        <f t="shared" si="58"/>
        <v>131.92179776930044</v>
      </c>
      <c r="BP52" s="177">
        <f t="shared" si="93"/>
        <v>6.3394489135897444E-2</v>
      </c>
      <c r="BQ52" s="177">
        <f t="shared" si="94"/>
        <v>2.4825622283974363E-2</v>
      </c>
      <c r="BR52" s="538"/>
      <c r="BT52" s="469">
        <f t="shared" si="59"/>
        <v>88.220111419871813</v>
      </c>
      <c r="BU52" s="538">
        <f t="shared" si="43"/>
        <v>3.0809720173069696E-3</v>
      </c>
      <c r="BV52" s="538">
        <f t="shared" si="60"/>
        <v>2.1586248012484899E-3</v>
      </c>
      <c r="BW52" s="538">
        <f t="shared" si="95"/>
        <v>8.9942700052020427E-4</v>
      </c>
      <c r="BX52" s="538">
        <f t="shared" si="45"/>
        <v>0</v>
      </c>
      <c r="BY52" s="538">
        <f t="shared" si="96"/>
        <v>6.8790851467703017E-3</v>
      </c>
      <c r="BZ52" s="538">
        <f t="shared" si="61"/>
        <v>6.1390238190756636E-3</v>
      </c>
      <c r="CA52" s="641">
        <f t="shared" si="97"/>
        <v>7.5200000000000015E-3</v>
      </c>
      <c r="CB52" s="469">
        <f t="shared" si="62"/>
        <v>14.399085146770304</v>
      </c>
      <c r="CC52" s="177">
        <f t="shared" si="63"/>
        <v>0.23454099433594253</v>
      </c>
      <c r="CD52" s="5">
        <f t="shared" si="64"/>
        <v>2.2560000000000002</v>
      </c>
      <c r="CE52" s="177">
        <f t="shared" si="65"/>
        <v>0.90582729018741626</v>
      </c>
      <c r="CF52" s="5">
        <f t="shared" si="66"/>
        <v>90.582729018741631</v>
      </c>
      <c r="CG52">
        <f t="shared" si="102"/>
        <v>47</v>
      </c>
      <c r="CI52" s="571">
        <f t="shared" si="98"/>
        <v>-50</v>
      </c>
      <c r="CJ52">
        <f t="shared" si="99"/>
        <v>-50</v>
      </c>
    </row>
    <row r="53" spans="5:88" x14ac:dyDescent="0.25">
      <c r="E53" s="174">
        <v>48</v>
      </c>
      <c r="F53" s="221">
        <f t="shared" si="103"/>
        <v>9.6000000000000002E-2</v>
      </c>
      <c r="G53" s="221">
        <f t="shared" si="100"/>
        <v>4.8000000000000001E-2</v>
      </c>
      <c r="H53" s="221">
        <f t="shared" si="70"/>
        <v>1.536</v>
      </c>
      <c r="I53" s="221">
        <f t="shared" si="104"/>
        <v>0.76800000000000002</v>
      </c>
      <c r="J53" s="551">
        <f t="shared" si="1"/>
        <v>32</v>
      </c>
      <c r="K53" s="451">
        <f t="shared" si="2"/>
        <v>19.584</v>
      </c>
      <c r="L53" s="451">
        <f t="shared" si="3"/>
        <v>51.584000000000003</v>
      </c>
      <c r="M53" s="451"/>
      <c r="N53" s="221">
        <f t="shared" si="4"/>
        <v>0.37965260545905705</v>
      </c>
      <c r="O53" s="176">
        <f t="shared" si="101"/>
        <v>5.4669975186104214</v>
      </c>
      <c r="P53" s="176">
        <f t="shared" si="71"/>
        <v>2.7334987593052107</v>
      </c>
      <c r="Q53" s="221">
        <f t="shared" si="6"/>
        <v>0.34168734491315134</v>
      </c>
      <c r="R53" s="221">
        <f t="shared" si="72"/>
        <v>0.34168734491315134</v>
      </c>
      <c r="S53" s="451">
        <f t="shared" si="73"/>
        <v>16</v>
      </c>
      <c r="T53" s="221">
        <f t="shared" si="74"/>
        <v>0.42143790849673213</v>
      </c>
      <c r="U53" s="221">
        <f t="shared" si="10"/>
        <v>0.39509803921568637</v>
      </c>
      <c r="V53" s="221">
        <f t="shared" si="11"/>
        <v>0.64558503139818035</v>
      </c>
      <c r="W53" s="201">
        <f t="shared" si="12"/>
        <v>350</v>
      </c>
      <c r="X53" s="451">
        <f t="shared" si="52"/>
        <v>350</v>
      </c>
      <c r="Z53" s="221">
        <f t="shared" si="13"/>
        <v>1.1570365118752215</v>
      </c>
      <c r="AA53" s="177">
        <f t="shared" si="14"/>
        <v>1.7724211272598367</v>
      </c>
      <c r="AB53" s="177">
        <f t="shared" si="75"/>
        <v>0.2871058342122137</v>
      </c>
      <c r="AC53" s="177"/>
      <c r="AD53" s="177">
        <f t="shared" si="16"/>
        <v>0.4595588235294118</v>
      </c>
      <c r="AE53" s="555">
        <f t="shared" si="76"/>
        <v>1740.8000000000006</v>
      </c>
      <c r="AF53" s="538">
        <f t="shared" si="77"/>
        <v>1.9301470588235291E-2</v>
      </c>
      <c r="AH53" s="177">
        <f t="shared" si="78"/>
        <v>0.6624629369686601</v>
      </c>
      <c r="AI53" s="177">
        <f t="shared" si="79"/>
        <v>0.6624629369686601</v>
      </c>
      <c r="AJ53" s="177">
        <f t="shared" si="80"/>
        <v>1.4684910644212297</v>
      </c>
      <c r="AL53" s="555">
        <f t="shared" si="81"/>
        <v>96</v>
      </c>
      <c r="AM53" s="469">
        <f t="shared" si="82"/>
        <v>350</v>
      </c>
      <c r="AO53">
        <f t="shared" si="53"/>
        <v>96</v>
      </c>
      <c r="AP53" s="469">
        <f t="shared" si="24"/>
        <v>350</v>
      </c>
      <c r="AQ53" s="469"/>
      <c r="AR53" s="5">
        <f t="shared" si="54"/>
        <v>2.8571428571428572</v>
      </c>
      <c r="AS53" s="5">
        <f t="shared" si="25"/>
        <v>0.62105900340811893</v>
      </c>
      <c r="AT53" s="5">
        <f t="shared" si="55"/>
        <v>2.2360838537347383</v>
      </c>
      <c r="AU53" s="177">
        <f t="shared" si="56"/>
        <v>0.21737065119284163</v>
      </c>
      <c r="AW53" s="5">
        <f t="shared" si="83"/>
        <v>0.80504166666666677</v>
      </c>
      <c r="AX53" s="5">
        <f t="shared" si="84"/>
        <v>0.58477055999999994</v>
      </c>
      <c r="AY53" s="5">
        <f t="shared" si="85"/>
        <v>0.20126041666666669</v>
      </c>
      <c r="AZ53" s="5">
        <f t="shared" si="86"/>
        <v>0.43323927272727258</v>
      </c>
      <c r="BA53" s="5">
        <f t="shared" si="87"/>
        <v>0.11180419268673691</v>
      </c>
      <c r="BB53" s="469">
        <f t="shared" si="88"/>
        <v>18.128670829877905</v>
      </c>
      <c r="BC53" s="5"/>
      <c r="BD53" s="177">
        <f t="shared" si="57"/>
        <v>0.1783205567916826</v>
      </c>
      <c r="BE53" s="177">
        <f t="shared" si="89"/>
        <v>0.27068800438730178</v>
      </c>
      <c r="BF53" s="177">
        <f t="shared" si="90"/>
        <v>0.13534400219365089</v>
      </c>
      <c r="BG53" s="177"/>
      <c r="BH53" s="538">
        <f t="shared" si="34"/>
        <v>1.1129377341073495E-2</v>
      </c>
      <c r="BI53" s="538">
        <f t="shared" si="35"/>
        <v>5.9801854246034881E-2</v>
      </c>
      <c r="BJ53" s="538">
        <f t="shared" si="36"/>
        <v>4.3749999999999995E-3</v>
      </c>
      <c r="BK53" s="538">
        <f t="shared" si="37"/>
        <v>4.6565908480000008E-2</v>
      </c>
      <c r="BL53">
        <f t="shared" si="38"/>
        <v>9.2800000000000001E-3</v>
      </c>
      <c r="BM53">
        <f t="shared" si="91"/>
        <v>2.3625000000000002E-5</v>
      </c>
      <c r="BN53">
        <f t="shared" si="92"/>
        <v>0.13295122908930654</v>
      </c>
      <c r="BO53" s="469">
        <f t="shared" si="58"/>
        <v>132.95122908930654</v>
      </c>
      <c r="BP53" s="177">
        <f t="shared" si="93"/>
        <v>6.4661902364726742E-2</v>
      </c>
      <c r="BQ53" s="177">
        <f t="shared" si="94"/>
        <v>2.5333475591181681E-2</v>
      </c>
      <c r="BR53" s="538"/>
      <c r="BT53" s="469">
        <f t="shared" si="59"/>
        <v>89.995377955908424</v>
      </c>
      <c r="BU53" s="538">
        <f t="shared" si="43"/>
        <v>3.1798220974495702E-3</v>
      </c>
      <c r="BV53" s="538">
        <f t="shared" si="60"/>
        <v>2.1981598715753972E-3</v>
      </c>
      <c r="BW53" s="538">
        <f t="shared" si="95"/>
        <v>9.1589994648974896E-4</v>
      </c>
      <c r="BX53" s="538">
        <f t="shared" si="45"/>
        <v>0</v>
      </c>
      <c r="BY53" s="538">
        <f t="shared" si="96"/>
        <v>7.0526988536781417E-3</v>
      </c>
      <c r="BZ53" s="538">
        <f t="shared" si="61"/>
        <v>6.2938819155147164E-3</v>
      </c>
      <c r="CA53" s="641">
        <f t="shared" si="97"/>
        <v>7.6800000000000028E-3</v>
      </c>
      <c r="CB53" s="469">
        <f t="shared" si="62"/>
        <v>14.732698853678144</v>
      </c>
      <c r="CC53" s="177">
        <f t="shared" si="63"/>
        <v>0.23767930589889311</v>
      </c>
      <c r="CD53" s="5">
        <f t="shared" si="64"/>
        <v>2.3040000000000003</v>
      </c>
      <c r="CE53" s="177">
        <f t="shared" si="65"/>
        <v>0.90648729548717188</v>
      </c>
      <c r="CF53" s="5">
        <f t="shared" si="66"/>
        <v>90.648729548717185</v>
      </c>
      <c r="CG53">
        <f t="shared" si="102"/>
        <v>48</v>
      </c>
      <c r="CI53" s="571">
        <f t="shared" si="98"/>
        <v>-50</v>
      </c>
      <c r="CJ53">
        <f t="shared" si="99"/>
        <v>-50</v>
      </c>
    </row>
    <row r="54" spans="5:88" x14ac:dyDescent="0.25">
      <c r="E54" s="174">
        <v>49</v>
      </c>
      <c r="F54" s="221">
        <f t="shared" si="103"/>
        <v>9.8000000000000004E-2</v>
      </c>
      <c r="G54" s="221">
        <f t="shared" si="100"/>
        <v>4.9000000000000002E-2</v>
      </c>
      <c r="H54" s="221">
        <f t="shared" si="70"/>
        <v>1.5680000000000001</v>
      </c>
      <c r="I54" s="221">
        <f t="shared" si="104"/>
        <v>0.78400000000000003</v>
      </c>
      <c r="J54" s="551">
        <f t="shared" si="1"/>
        <v>32</v>
      </c>
      <c r="K54" s="451">
        <f t="shared" si="2"/>
        <v>19.584</v>
      </c>
      <c r="L54" s="451">
        <f t="shared" si="3"/>
        <v>51.584000000000003</v>
      </c>
      <c r="M54" s="451"/>
      <c r="N54" s="221">
        <f t="shared" si="4"/>
        <v>0.37965260545905705</v>
      </c>
      <c r="O54" s="176">
        <f t="shared" si="101"/>
        <v>5.4669975186104214</v>
      </c>
      <c r="P54" s="176">
        <f t="shared" si="71"/>
        <v>2.7334987593052107</v>
      </c>
      <c r="Q54" s="221">
        <f t="shared" si="6"/>
        <v>0.34168734491315134</v>
      </c>
      <c r="R54" s="221">
        <f t="shared" si="72"/>
        <v>0.34168734491315134</v>
      </c>
      <c r="S54" s="451">
        <f t="shared" si="73"/>
        <v>16</v>
      </c>
      <c r="T54" s="221">
        <f t="shared" si="74"/>
        <v>0.43021786492374736</v>
      </c>
      <c r="U54" s="221">
        <f t="shared" si="10"/>
        <v>0.40332924836601319</v>
      </c>
      <c r="V54" s="221">
        <f t="shared" si="11"/>
        <v>0.65903471955230908</v>
      </c>
      <c r="W54" s="201">
        <f t="shared" si="12"/>
        <v>350</v>
      </c>
      <c r="X54" s="451">
        <f t="shared" si="52"/>
        <v>350</v>
      </c>
      <c r="Z54" s="221">
        <f t="shared" si="13"/>
        <v>1.1570365118752215</v>
      </c>
      <c r="AA54" s="177">
        <f t="shared" si="14"/>
        <v>1.7724211272598367</v>
      </c>
      <c r="AB54" s="177">
        <f t="shared" si="75"/>
        <v>0.2871058342122137</v>
      </c>
      <c r="AC54" s="177"/>
      <c r="AD54" s="177">
        <f t="shared" si="16"/>
        <v>0.4595588235294118</v>
      </c>
      <c r="AE54" s="555">
        <f t="shared" si="76"/>
        <v>1777.0666666666671</v>
      </c>
      <c r="AF54" s="538">
        <f t="shared" si="77"/>
        <v>1.9301470588235291E-2</v>
      </c>
      <c r="AH54" s="177">
        <f t="shared" si="78"/>
        <v>0.66932802122726054</v>
      </c>
      <c r="AI54" s="177">
        <f t="shared" si="79"/>
        <v>0.66932802122726054</v>
      </c>
      <c r="AJ54" s="177">
        <f t="shared" si="80"/>
        <v>1.473576312020193</v>
      </c>
      <c r="AL54" s="555">
        <f t="shared" si="81"/>
        <v>98</v>
      </c>
      <c r="AM54" s="469">
        <f t="shared" si="82"/>
        <v>350</v>
      </c>
      <c r="AO54">
        <f t="shared" si="53"/>
        <v>98</v>
      </c>
      <c r="AP54" s="469">
        <f t="shared" si="24"/>
        <v>350</v>
      </c>
      <c r="AQ54" s="469"/>
      <c r="AR54" s="5">
        <f t="shared" si="54"/>
        <v>2.8571428571428572</v>
      </c>
      <c r="AS54" s="5">
        <f t="shared" si="25"/>
        <v>0.62749501990055678</v>
      </c>
      <c r="AT54" s="5">
        <f t="shared" si="55"/>
        <v>2.2296478372423003</v>
      </c>
      <c r="AU54" s="177">
        <f t="shared" si="56"/>
        <v>0.21962325696519486</v>
      </c>
      <c r="AW54" s="5">
        <f t="shared" si="83"/>
        <v>0.80504166666666677</v>
      </c>
      <c r="AX54" s="5">
        <f t="shared" si="84"/>
        <v>0.60326480666666671</v>
      </c>
      <c r="AY54" s="5">
        <f t="shared" si="85"/>
        <v>0.20126041666666669</v>
      </c>
      <c r="AZ54" s="5">
        <f t="shared" si="86"/>
        <v>0.44943728030303032</v>
      </c>
      <c r="BA54" s="5">
        <f t="shared" si="87"/>
        <v>0.11380494169257575</v>
      </c>
      <c r="BB54" s="469">
        <f t="shared" si="88"/>
        <v>18.453790670812122</v>
      </c>
      <c r="BC54" s="5"/>
      <c r="BD54" s="177">
        <f t="shared" si="57"/>
        <v>0.18109962186635226</v>
      </c>
      <c r="BE54" s="177">
        <f t="shared" si="89"/>
        <v>0.27309926141907903</v>
      </c>
      <c r="BF54" s="177">
        <f t="shared" si="90"/>
        <v>0.13654963070953952</v>
      </c>
      <c r="BG54" s="177"/>
      <c r="BH54" s="538">
        <f t="shared" si="34"/>
        <v>1.1478975564047519E-2</v>
      </c>
      <c r="BI54" s="538">
        <f t="shared" si="35"/>
        <v>6.0421579132227267E-2</v>
      </c>
      <c r="BJ54" s="538">
        <f t="shared" si="36"/>
        <v>4.3749999999999995E-3</v>
      </c>
      <c r="BK54" s="538">
        <f t="shared" si="37"/>
        <v>4.6565908480000008E-2</v>
      </c>
      <c r="BL54">
        <f t="shared" si="38"/>
        <v>9.2800000000000001E-3</v>
      </c>
      <c r="BM54">
        <f t="shared" si="91"/>
        <v>2.3625000000000002E-5</v>
      </c>
      <c r="BN54">
        <f t="shared" si="92"/>
        <v>0.13397849905406148</v>
      </c>
      <c r="BO54" s="469">
        <f t="shared" si="58"/>
        <v>133.97849905406147</v>
      </c>
      <c r="BP54" s="177">
        <f t="shared" si="93"/>
        <v>6.5926784916480963E-2</v>
      </c>
      <c r="BQ54" s="177">
        <f t="shared" si="94"/>
        <v>2.584069622912024E-2</v>
      </c>
      <c r="BR54" s="538"/>
      <c r="BT54" s="469">
        <f t="shared" si="59"/>
        <v>91.767481145601209</v>
      </c>
      <c r="BU54" s="538">
        <f t="shared" si="43"/>
        <v>3.2797073040135775E-3</v>
      </c>
      <c r="BV54" s="538">
        <f t="shared" si="60"/>
        <v>2.237496197629394E-3</v>
      </c>
      <c r="BW54" s="538">
        <f t="shared" si="95"/>
        <v>9.3229008234558099E-4</v>
      </c>
      <c r="BX54" s="538">
        <f t="shared" si="45"/>
        <v>0</v>
      </c>
      <c r="BY54" s="538">
        <f t="shared" si="96"/>
        <v>7.2271617367272974E-3</v>
      </c>
      <c r="BZ54" s="538">
        <f t="shared" si="61"/>
        <v>6.4494935839885525E-3</v>
      </c>
      <c r="CA54" s="641">
        <f t="shared" si="97"/>
        <v>7.8400000000000032E-3</v>
      </c>
      <c r="CB54" s="469">
        <f t="shared" si="62"/>
        <v>15.0671617367273</v>
      </c>
      <c r="CC54" s="177">
        <f t="shared" si="63"/>
        <v>0.24081314193639</v>
      </c>
      <c r="CD54" s="5">
        <f t="shared" si="64"/>
        <v>2.3520000000000003</v>
      </c>
      <c r="CE54" s="177">
        <f t="shared" si="65"/>
        <v>0.90712283193823084</v>
      </c>
      <c r="CF54" s="5">
        <f t="shared" si="66"/>
        <v>90.712283193823083</v>
      </c>
      <c r="CG54">
        <f t="shared" si="102"/>
        <v>49</v>
      </c>
      <c r="CI54" s="571">
        <f t="shared" si="98"/>
        <v>-50</v>
      </c>
      <c r="CJ54">
        <f t="shared" si="99"/>
        <v>-50</v>
      </c>
    </row>
    <row r="55" spans="5:88" x14ac:dyDescent="0.25">
      <c r="E55" s="174">
        <v>50</v>
      </c>
      <c r="F55" s="221">
        <f t="shared" si="103"/>
        <v>0.1</v>
      </c>
      <c r="G55" s="221">
        <f t="shared" si="100"/>
        <v>0.05</v>
      </c>
      <c r="H55" s="221">
        <f t="shared" si="70"/>
        <v>1.6</v>
      </c>
      <c r="I55" s="221">
        <f t="shared" si="104"/>
        <v>0.8</v>
      </c>
      <c r="J55" s="551">
        <f t="shared" si="1"/>
        <v>32</v>
      </c>
      <c r="K55" s="451">
        <f t="shared" si="2"/>
        <v>19.584</v>
      </c>
      <c r="L55" s="451">
        <f t="shared" si="3"/>
        <v>51.584000000000003</v>
      </c>
      <c r="M55" s="451"/>
      <c r="N55" s="221">
        <f t="shared" si="4"/>
        <v>0.37965260545905705</v>
      </c>
      <c r="O55" s="176">
        <f t="shared" si="101"/>
        <v>5.4669975186104214</v>
      </c>
      <c r="P55" s="176">
        <f t="shared" si="71"/>
        <v>2.7334987593052107</v>
      </c>
      <c r="Q55" s="221">
        <f t="shared" si="6"/>
        <v>0.34168734491315134</v>
      </c>
      <c r="R55" s="221">
        <f t="shared" si="72"/>
        <v>0.34168734491315134</v>
      </c>
      <c r="S55" s="451">
        <f t="shared" si="73"/>
        <v>16</v>
      </c>
      <c r="T55" s="221">
        <f t="shared" si="74"/>
        <v>0.43899782135076265</v>
      </c>
      <c r="U55" s="221">
        <f t="shared" si="10"/>
        <v>0.41156045751633996</v>
      </c>
      <c r="V55" s="221">
        <f t="shared" si="11"/>
        <v>0.67248440770643791</v>
      </c>
      <c r="W55" s="201">
        <f t="shared" si="12"/>
        <v>350</v>
      </c>
      <c r="X55" s="451">
        <f t="shared" si="52"/>
        <v>350</v>
      </c>
      <c r="Z55" s="221">
        <f t="shared" si="13"/>
        <v>1.1570365118752215</v>
      </c>
      <c r="AA55" s="177">
        <f t="shared" si="14"/>
        <v>1.7724211272598367</v>
      </c>
      <c r="AB55" s="177">
        <f t="shared" si="75"/>
        <v>0.2871058342122137</v>
      </c>
      <c r="AC55" s="177"/>
      <c r="AD55" s="177">
        <f t="shared" si="16"/>
        <v>0.4595588235294118</v>
      </c>
      <c r="AE55" s="555">
        <f t="shared" si="76"/>
        <v>1813.3333333333337</v>
      </c>
      <c r="AF55" s="538">
        <f t="shared" si="77"/>
        <v>1.9301470588235291E-2</v>
      </c>
      <c r="AH55" s="177">
        <f t="shared" si="78"/>
        <v>0.67612340378281333</v>
      </c>
      <c r="AI55" s="177">
        <f t="shared" si="79"/>
        <v>0.67612340378281333</v>
      </c>
      <c r="AJ55" s="177">
        <f t="shared" si="80"/>
        <v>1.4786099287280099</v>
      </c>
      <c r="AL55" s="555">
        <f t="shared" si="81"/>
        <v>100</v>
      </c>
      <c r="AM55" s="469">
        <f t="shared" si="82"/>
        <v>350</v>
      </c>
      <c r="AO55">
        <f t="shared" si="53"/>
        <v>100</v>
      </c>
      <c r="AP55" s="469">
        <f t="shared" si="24"/>
        <v>350</v>
      </c>
      <c r="AQ55" s="469"/>
      <c r="AR55" s="5">
        <f t="shared" si="54"/>
        <v>2.8571428571428572</v>
      </c>
      <c r="AS55" s="5">
        <f t="shared" si="25"/>
        <v>0.63386569104638746</v>
      </c>
      <c r="AT55" s="5">
        <f t="shared" si="55"/>
        <v>2.2232771660964699</v>
      </c>
      <c r="AU55" s="177">
        <f t="shared" si="56"/>
        <v>0.22185299186623561</v>
      </c>
      <c r="AW55" s="5">
        <f t="shared" si="83"/>
        <v>0.80504166666666677</v>
      </c>
      <c r="AX55" s="5">
        <f t="shared" si="84"/>
        <v>0.62201666666666666</v>
      </c>
      <c r="AY55" s="5">
        <f t="shared" si="85"/>
        <v>0.20126041666666669</v>
      </c>
      <c r="AZ55" s="5">
        <f t="shared" si="86"/>
        <v>0.46592803030303032</v>
      </c>
      <c r="BA55" s="5">
        <f t="shared" si="87"/>
        <v>0.11579568573419113</v>
      </c>
      <c r="BB55" s="469">
        <f t="shared" si="88"/>
        <v>18.777309717470583</v>
      </c>
      <c r="BC55" s="5"/>
      <c r="BD55" s="177">
        <f t="shared" si="57"/>
        <v>0.1838645430449837</v>
      </c>
      <c r="BE55" s="177">
        <f t="shared" si="89"/>
        <v>0.27547751378789431</v>
      </c>
      <c r="BF55" s="177">
        <f t="shared" si="90"/>
        <v>0.13773875689394716</v>
      </c>
      <c r="BG55" s="177"/>
      <c r="BH55" s="538">
        <f t="shared" si="34"/>
        <v>1.1832159566199232E-2</v>
      </c>
      <c r="BI55" s="538">
        <f t="shared" si="35"/>
        <v>6.1035011906282133E-2</v>
      </c>
      <c r="BJ55" s="538">
        <f t="shared" si="36"/>
        <v>4.3749999999999995E-3</v>
      </c>
      <c r="BK55" s="538">
        <f t="shared" si="37"/>
        <v>4.6565908480000008E-2</v>
      </c>
      <c r="BL55">
        <f t="shared" si="38"/>
        <v>9.2800000000000001E-3</v>
      </c>
      <c r="BM55">
        <f t="shared" si="91"/>
        <v>2.3625000000000002E-5</v>
      </c>
      <c r="BN55">
        <f t="shared" si="92"/>
        <v>0.13500376422574403</v>
      </c>
      <c r="BO55" s="469">
        <f t="shared" si="58"/>
        <v>135.00376422574402</v>
      </c>
      <c r="BP55" s="177">
        <f t="shared" si="93"/>
        <v>6.7189162750254133E-2</v>
      </c>
      <c r="BQ55" s="177">
        <f t="shared" si="94"/>
        <v>2.6347290687563536E-2</v>
      </c>
      <c r="BR55" s="538"/>
      <c r="BT55" s="469">
        <f t="shared" si="59"/>
        <v>93.536453437817656</v>
      </c>
      <c r="BU55" s="538">
        <f t="shared" si="43"/>
        <v>3.3806170189140668E-3</v>
      </c>
      <c r="BV55" s="538">
        <f t="shared" si="60"/>
        <v>2.2766358180827846E-3</v>
      </c>
      <c r="BW55" s="538">
        <f t="shared" si="95"/>
        <v>9.4859825753449377E-4</v>
      </c>
      <c r="BX55" s="538">
        <f t="shared" si="45"/>
        <v>0</v>
      </c>
      <c r="BY55" s="538">
        <f t="shared" si="96"/>
        <v>7.4024651924986355E-3</v>
      </c>
      <c r="BZ55" s="538">
        <f t="shared" si="61"/>
        <v>6.6058510945313457E-3</v>
      </c>
      <c r="CA55" s="641">
        <f t="shared" si="97"/>
        <v>8.0000000000000036E-3</v>
      </c>
      <c r="CB55" s="469">
        <f t="shared" si="62"/>
        <v>15.402465192498639</v>
      </c>
      <c r="CC55" s="177">
        <f t="shared" si="63"/>
        <v>0.24394268285606033</v>
      </c>
      <c r="CD55" s="5">
        <f t="shared" si="64"/>
        <v>2.4000000000000004</v>
      </c>
      <c r="CE55" s="177">
        <f t="shared" si="65"/>
        <v>0.90773526051156805</v>
      </c>
      <c r="CF55" s="5">
        <f t="shared" si="66"/>
        <v>90.773526051156807</v>
      </c>
      <c r="CG55">
        <f t="shared" si="102"/>
        <v>50</v>
      </c>
      <c r="CI55" s="571">
        <f t="shared" si="98"/>
        <v>-50</v>
      </c>
      <c r="CJ55">
        <f t="shared" si="99"/>
        <v>-50</v>
      </c>
    </row>
    <row r="56" spans="5:88" x14ac:dyDescent="0.25">
      <c r="E56" s="174">
        <v>51</v>
      </c>
      <c r="F56" s="221">
        <f t="shared" si="103"/>
        <v>0.10200000000000001</v>
      </c>
      <c r="G56" s="221">
        <f t="shared" si="100"/>
        <v>5.1000000000000004E-2</v>
      </c>
      <c r="H56" s="221">
        <f t="shared" si="70"/>
        <v>1.6320000000000001</v>
      </c>
      <c r="I56" s="221">
        <f t="shared" si="104"/>
        <v>0.81600000000000006</v>
      </c>
      <c r="J56" s="551">
        <f t="shared" si="1"/>
        <v>32</v>
      </c>
      <c r="K56" s="451">
        <f t="shared" si="2"/>
        <v>19.584</v>
      </c>
      <c r="L56" s="451">
        <f t="shared" si="3"/>
        <v>51.584000000000003</v>
      </c>
      <c r="M56" s="451"/>
      <c r="N56" s="221">
        <f t="shared" si="4"/>
        <v>0.37965260545905705</v>
      </c>
      <c r="O56" s="176">
        <f t="shared" si="101"/>
        <v>5.4669975186104214</v>
      </c>
      <c r="P56" s="176">
        <f t="shared" si="71"/>
        <v>2.7334987593052107</v>
      </c>
      <c r="Q56" s="221">
        <f t="shared" si="6"/>
        <v>0.34168734491315134</v>
      </c>
      <c r="R56" s="221">
        <f t="shared" si="72"/>
        <v>0.34168734491315134</v>
      </c>
      <c r="S56" s="451">
        <f t="shared" si="73"/>
        <v>16</v>
      </c>
      <c r="T56" s="221">
        <f t="shared" si="74"/>
        <v>0.44777777777777789</v>
      </c>
      <c r="U56" s="221">
        <f t="shared" si="10"/>
        <v>0.41979166666666679</v>
      </c>
      <c r="V56" s="221">
        <f t="shared" si="11"/>
        <v>0.68593409586056675</v>
      </c>
      <c r="W56" s="201">
        <f t="shared" si="12"/>
        <v>350</v>
      </c>
      <c r="X56" s="451">
        <f t="shared" si="52"/>
        <v>350</v>
      </c>
      <c r="Z56" s="221">
        <f t="shared" si="13"/>
        <v>1.1570365118752215</v>
      </c>
      <c r="AA56" s="177">
        <f t="shared" si="14"/>
        <v>1.7724211272598367</v>
      </c>
      <c r="AB56" s="177">
        <f t="shared" si="75"/>
        <v>0.2871058342122137</v>
      </c>
      <c r="AC56" s="177"/>
      <c r="AD56" s="177">
        <f t="shared" si="16"/>
        <v>0.4595588235294118</v>
      </c>
      <c r="AE56" s="555">
        <f t="shared" si="76"/>
        <v>1849.6000000000008</v>
      </c>
      <c r="AF56" s="538">
        <f t="shared" si="77"/>
        <v>1.9301470588235291E-2</v>
      </c>
      <c r="AH56" s="177">
        <f t="shared" si="78"/>
        <v>0.68285116554467007</v>
      </c>
      <c r="AI56" s="177">
        <f t="shared" si="79"/>
        <v>0.68285116554467007</v>
      </c>
      <c r="AJ56" s="177">
        <f t="shared" si="80"/>
        <v>1.4835934559590149</v>
      </c>
      <c r="AL56" s="555">
        <f t="shared" si="81"/>
        <v>102.00000000000001</v>
      </c>
      <c r="AM56" s="469">
        <f t="shared" si="82"/>
        <v>350</v>
      </c>
      <c r="AO56">
        <f t="shared" si="53"/>
        <v>102.00000000000001</v>
      </c>
      <c r="AP56" s="469">
        <f t="shared" si="24"/>
        <v>350</v>
      </c>
      <c r="AQ56" s="469"/>
      <c r="AR56" s="5">
        <f t="shared" si="54"/>
        <v>2.8571428571428572</v>
      </c>
      <c r="AS56" s="5">
        <f t="shared" si="25"/>
        <v>0.64017296769812815</v>
      </c>
      <c r="AT56" s="5">
        <f t="shared" si="55"/>
        <v>2.2169698894447292</v>
      </c>
      <c r="AU56" s="177">
        <f t="shared" si="56"/>
        <v>0.22406053869434484</v>
      </c>
      <c r="AW56" s="5">
        <f t="shared" si="83"/>
        <v>0.80504166666666677</v>
      </c>
      <c r="AX56" s="5">
        <f t="shared" si="84"/>
        <v>0.64102614000000002</v>
      </c>
      <c r="AY56" s="5">
        <f t="shared" si="85"/>
        <v>0.20126041666666669</v>
      </c>
      <c r="AZ56" s="5">
        <f t="shared" si="86"/>
        <v>0.48271152272727269</v>
      </c>
      <c r="BA56" s="5">
        <f t="shared" si="87"/>
        <v>0.11777652537675123</v>
      </c>
      <c r="BB56" s="469">
        <f t="shared" si="88"/>
        <v>19.099244060280199</v>
      </c>
      <c r="BC56" s="5"/>
      <c r="BD56" s="177">
        <f t="shared" si="57"/>
        <v>0.18661567308985108</v>
      </c>
      <c r="BE56" s="177">
        <f t="shared" si="89"/>
        <v>0.27782372769601171</v>
      </c>
      <c r="BF56" s="177">
        <f t="shared" si="90"/>
        <v>0.13891186384800586</v>
      </c>
      <c r="BG56" s="177"/>
      <c r="BH56" s="538">
        <f t="shared" si="34"/>
        <v>1.2188893304972359E-2</v>
      </c>
      <c r="BI56" s="538">
        <f t="shared" si="35"/>
        <v>6.1642340416048456E-2</v>
      </c>
      <c r="BJ56" s="538">
        <f t="shared" si="36"/>
        <v>4.3749999999999995E-3</v>
      </c>
      <c r="BK56" s="538">
        <f t="shared" si="37"/>
        <v>4.6565908480000008E-2</v>
      </c>
      <c r="BL56">
        <f t="shared" si="38"/>
        <v>9.2800000000000001E-3</v>
      </c>
      <c r="BM56">
        <f t="shared" si="91"/>
        <v>2.3625000000000002E-5</v>
      </c>
      <c r="BN56">
        <f t="shared" si="92"/>
        <v>0.13602717261515818</v>
      </c>
      <c r="BO56" s="469">
        <f t="shared" si="58"/>
        <v>136.02717261515818</v>
      </c>
      <c r="BP56" s="177">
        <f t="shared" si="93"/>
        <v>6.8449061042286735E-2</v>
      </c>
      <c r="BQ56" s="177">
        <f t="shared" si="94"/>
        <v>2.6853265260571683E-2</v>
      </c>
      <c r="BR56" s="538"/>
      <c r="BT56" s="469">
        <f t="shared" si="59"/>
        <v>95.302326302858432</v>
      </c>
      <c r="BU56" s="538">
        <f t="shared" si="43"/>
        <v>3.4825409442778171E-3</v>
      </c>
      <c r="BV56" s="538">
        <f t="shared" si="60"/>
        <v>2.3155807101272298E-3</v>
      </c>
      <c r="BW56" s="538">
        <f t="shared" si="95"/>
        <v>9.6482529588634591E-4</v>
      </c>
      <c r="BX56" s="538">
        <f t="shared" si="45"/>
        <v>0</v>
      </c>
      <c r="BY56" s="538">
        <f t="shared" si="96"/>
        <v>7.5786008783821955E-3</v>
      </c>
      <c r="BZ56" s="538">
        <f t="shared" si="61"/>
        <v>6.762946950291393E-3</v>
      </c>
      <c r="CA56" s="641">
        <f t="shared" si="97"/>
        <v>8.1600000000000041E-3</v>
      </c>
      <c r="CB56" s="469">
        <f t="shared" si="62"/>
        <v>15.738600878382199</v>
      </c>
      <c r="CC56" s="177">
        <f t="shared" si="63"/>
        <v>0.24706809979639879</v>
      </c>
      <c r="CD56" s="5">
        <f t="shared" si="64"/>
        <v>2.4480000000000004</v>
      </c>
      <c r="CE56" s="177">
        <f t="shared" si="65"/>
        <v>0.90832584163084273</v>
      </c>
      <c r="CF56" s="5">
        <f t="shared" si="66"/>
        <v>90.832584163084277</v>
      </c>
      <c r="CG56">
        <f t="shared" si="102"/>
        <v>51</v>
      </c>
      <c r="CI56" s="571">
        <f t="shared" si="98"/>
        <v>-50</v>
      </c>
      <c r="CJ56">
        <f t="shared" si="99"/>
        <v>-50</v>
      </c>
    </row>
    <row r="57" spans="5:88" x14ac:dyDescent="0.25">
      <c r="E57" s="174">
        <v>52</v>
      </c>
      <c r="F57" s="221">
        <f t="shared" si="103"/>
        <v>0.10400000000000001</v>
      </c>
      <c r="G57" s="221">
        <f t="shared" si="100"/>
        <v>5.2000000000000005E-2</v>
      </c>
      <c r="H57" s="221">
        <f t="shared" si="70"/>
        <v>1.6640000000000001</v>
      </c>
      <c r="I57" s="221">
        <f t="shared" si="104"/>
        <v>0.83200000000000007</v>
      </c>
      <c r="J57" s="551">
        <f t="shared" si="1"/>
        <v>32</v>
      </c>
      <c r="K57" s="451">
        <f t="shared" si="2"/>
        <v>19.584</v>
      </c>
      <c r="L57" s="451">
        <f t="shared" si="3"/>
        <v>51.584000000000003</v>
      </c>
      <c r="M57" s="451"/>
      <c r="N57" s="221">
        <f t="shared" si="4"/>
        <v>0.37965260545905705</v>
      </c>
      <c r="O57" s="176">
        <f t="shared" si="101"/>
        <v>5.4669975186104214</v>
      </c>
      <c r="P57" s="176">
        <f t="shared" si="71"/>
        <v>2.7334987593052107</v>
      </c>
      <c r="Q57" s="221">
        <f t="shared" si="6"/>
        <v>0.34168734491315134</v>
      </c>
      <c r="R57" s="221">
        <f t="shared" si="72"/>
        <v>0.34168734491315134</v>
      </c>
      <c r="S57" s="451">
        <f t="shared" si="73"/>
        <v>16</v>
      </c>
      <c r="T57" s="221">
        <f t="shared" si="74"/>
        <v>0.45655773420479312</v>
      </c>
      <c r="U57" s="221">
        <f t="shared" si="10"/>
        <v>0.42802287581699355</v>
      </c>
      <c r="V57" s="221">
        <f t="shared" si="11"/>
        <v>0.69938378401469536</v>
      </c>
      <c r="W57" s="201">
        <f t="shared" si="12"/>
        <v>350</v>
      </c>
      <c r="X57" s="451">
        <f t="shared" si="52"/>
        <v>350</v>
      </c>
      <c r="Z57" s="221">
        <f t="shared" si="13"/>
        <v>1.1570365118752215</v>
      </c>
      <c r="AA57" s="177">
        <f t="shared" si="14"/>
        <v>1.7724211272598367</v>
      </c>
      <c r="AB57" s="177">
        <f t="shared" si="75"/>
        <v>0.2871058342122137</v>
      </c>
      <c r="AC57" s="177"/>
      <c r="AD57" s="177">
        <f t="shared" si="16"/>
        <v>0.4595588235294118</v>
      </c>
      <c r="AE57" s="555">
        <f t="shared" si="76"/>
        <v>1885.8666666666672</v>
      </c>
      <c r="AF57" s="538">
        <f t="shared" si="77"/>
        <v>1.9301470588235291E-2</v>
      </c>
      <c r="AH57" s="177">
        <f t="shared" si="78"/>
        <v>0.68951328589706773</v>
      </c>
      <c r="AI57" s="177">
        <f t="shared" si="79"/>
        <v>0.68951328589706773</v>
      </c>
      <c r="AJ57" s="177">
        <f t="shared" si="80"/>
        <v>1.4885283599237538</v>
      </c>
      <c r="AL57" s="555">
        <f t="shared" si="81"/>
        <v>104.00000000000001</v>
      </c>
      <c r="AM57" s="469">
        <f t="shared" si="82"/>
        <v>350</v>
      </c>
      <c r="AO57">
        <f t="shared" si="53"/>
        <v>104.00000000000001</v>
      </c>
      <c r="AP57" s="469">
        <f t="shared" si="24"/>
        <v>350</v>
      </c>
      <c r="AQ57" s="469"/>
      <c r="AR57" s="5">
        <f t="shared" si="54"/>
        <v>2.8571428571428572</v>
      </c>
      <c r="AS57" s="5">
        <f t="shared" si="25"/>
        <v>0.646418705528501</v>
      </c>
      <c r="AT57" s="5">
        <f t="shared" si="55"/>
        <v>2.2107241516143561</v>
      </c>
      <c r="AU57" s="177">
        <f t="shared" si="56"/>
        <v>0.22624654693497534</v>
      </c>
      <c r="AW57" s="5">
        <f t="shared" si="83"/>
        <v>0.80504166666666677</v>
      </c>
      <c r="AX57" s="5">
        <f t="shared" si="84"/>
        <v>0.66029322666666679</v>
      </c>
      <c r="AY57" s="5">
        <f t="shared" si="85"/>
        <v>0.20126041666666669</v>
      </c>
      <c r="AZ57" s="5">
        <f t="shared" si="86"/>
        <v>0.49978775757575755</v>
      </c>
      <c r="BA57" s="5">
        <f t="shared" si="87"/>
        <v>0.11974755821244432</v>
      </c>
      <c r="BB57" s="469">
        <f t="shared" si="88"/>
        <v>19.419609313991092</v>
      </c>
      <c r="BC57" s="5"/>
      <c r="BD57" s="177">
        <f t="shared" si="57"/>
        <v>0.18935334923535818</v>
      </c>
      <c r="BE57" s="177">
        <f t="shared" si="89"/>
        <v>0.28013882228300213</v>
      </c>
      <c r="BF57" s="177">
        <f t="shared" si="90"/>
        <v>0.14006941114150107</v>
      </c>
      <c r="BG57" s="177"/>
      <c r="BH57" s="538">
        <f t="shared" si="34"/>
        <v>1.2549141803326631E-2</v>
      </c>
      <c r="BI57" s="538">
        <f t="shared" si="35"/>
        <v>6.2243743344500113E-2</v>
      </c>
      <c r="BJ57" s="538">
        <f t="shared" si="36"/>
        <v>4.3749999999999995E-3</v>
      </c>
      <c r="BK57" s="538">
        <f t="shared" si="37"/>
        <v>4.6565908480000008E-2</v>
      </c>
      <c r="BL57">
        <f t="shared" si="38"/>
        <v>9.2800000000000001E-3</v>
      </c>
      <c r="BM57">
        <f t="shared" si="91"/>
        <v>2.3625000000000002E-5</v>
      </c>
      <c r="BN57">
        <f t="shared" si="92"/>
        <v>0.13704886429037336</v>
      </c>
      <c r="BO57" s="469">
        <f t="shared" si="58"/>
        <v>137.04886429037336</v>
      </c>
      <c r="BP57" s="177">
        <f t="shared" si="93"/>
        <v>6.9706504224541055E-2</v>
      </c>
      <c r="BQ57" s="177">
        <f t="shared" si="94"/>
        <v>2.7358626056135264E-2</v>
      </c>
      <c r="BR57" s="538"/>
      <c r="BT57" s="469">
        <f t="shared" si="59"/>
        <v>97.065130280676314</v>
      </c>
      <c r="BU57" s="538">
        <f t="shared" si="43"/>
        <v>3.5854690866647522E-3</v>
      </c>
      <c r="BV57" s="538">
        <f t="shared" si="60"/>
        <v>2.3543327925032234E-3</v>
      </c>
      <c r="BW57" s="538">
        <f t="shared" si="95"/>
        <v>9.8097199687634316E-4</v>
      </c>
      <c r="BX57" s="538">
        <f t="shared" si="45"/>
        <v>0</v>
      </c>
      <c r="BY57" s="538">
        <f t="shared" si="96"/>
        <v>7.7555606997204143E-3</v>
      </c>
      <c r="BZ57" s="538">
        <f t="shared" si="61"/>
        <v>6.9207738760443194E-3</v>
      </c>
      <c r="CA57" s="641">
        <f t="shared" si="97"/>
        <v>8.320000000000001E-3</v>
      </c>
      <c r="CB57" s="469">
        <f t="shared" si="62"/>
        <v>16.075560699720416</v>
      </c>
      <c r="CC57" s="177">
        <f t="shared" si="63"/>
        <v>0.25018955527077008</v>
      </c>
      <c r="CD57" s="5">
        <f t="shared" si="64"/>
        <v>2.4960000000000004</v>
      </c>
      <c r="CE57" s="177">
        <f t="shared" si="65"/>
        <v>0.90889574436310105</v>
      </c>
      <c r="CF57" s="5">
        <f t="shared" si="66"/>
        <v>90.889574436310099</v>
      </c>
      <c r="CG57">
        <f t="shared" si="102"/>
        <v>52</v>
      </c>
      <c r="CI57" s="571">
        <f t="shared" si="98"/>
        <v>-50</v>
      </c>
      <c r="CJ57">
        <f t="shared" si="99"/>
        <v>-50</v>
      </c>
    </row>
    <row r="58" spans="5:88" x14ac:dyDescent="0.25">
      <c r="E58" s="174">
        <v>53</v>
      </c>
      <c r="F58" s="221">
        <f t="shared" si="103"/>
        <v>0.10600000000000001</v>
      </c>
      <c r="G58" s="221">
        <f t="shared" si="100"/>
        <v>5.3000000000000005E-2</v>
      </c>
      <c r="H58" s="221">
        <f t="shared" si="70"/>
        <v>1.6960000000000002</v>
      </c>
      <c r="I58" s="221">
        <f t="shared" si="104"/>
        <v>0.84800000000000009</v>
      </c>
      <c r="J58" s="551">
        <f t="shared" si="1"/>
        <v>32</v>
      </c>
      <c r="K58" s="451">
        <f t="shared" si="2"/>
        <v>19.584</v>
      </c>
      <c r="L58" s="451">
        <f t="shared" si="3"/>
        <v>51.584000000000003</v>
      </c>
      <c r="M58" s="451"/>
      <c r="N58" s="221">
        <f t="shared" si="4"/>
        <v>0.37965260545905705</v>
      </c>
      <c r="O58" s="176">
        <f t="shared" si="101"/>
        <v>5.4669975186104214</v>
      </c>
      <c r="P58" s="176">
        <f t="shared" si="71"/>
        <v>2.7334987593052107</v>
      </c>
      <c r="Q58" s="221">
        <f t="shared" si="6"/>
        <v>0.34168734491315134</v>
      </c>
      <c r="R58" s="221">
        <f t="shared" si="72"/>
        <v>0.34168734491315134</v>
      </c>
      <c r="S58" s="451">
        <f t="shared" si="73"/>
        <v>16</v>
      </c>
      <c r="T58" s="221">
        <f t="shared" si="74"/>
        <v>0.46533769063180841</v>
      </c>
      <c r="U58" s="221">
        <f t="shared" si="10"/>
        <v>0.43625408496732043</v>
      </c>
      <c r="V58" s="221">
        <f t="shared" si="11"/>
        <v>0.7128334721688242</v>
      </c>
      <c r="W58" s="201">
        <f t="shared" si="12"/>
        <v>350</v>
      </c>
      <c r="X58" s="451">
        <f t="shared" si="52"/>
        <v>350</v>
      </c>
      <c r="Z58" s="221">
        <f t="shared" si="13"/>
        <v>1.1570365118752215</v>
      </c>
      <c r="AA58" s="177">
        <f t="shared" si="14"/>
        <v>1.7724211272598367</v>
      </c>
      <c r="AB58" s="177">
        <f t="shared" si="75"/>
        <v>0.2871058342122137</v>
      </c>
      <c r="AC58" s="177"/>
      <c r="AD58" s="177">
        <f t="shared" si="16"/>
        <v>0.4595588235294118</v>
      </c>
      <c r="AE58" s="555">
        <f t="shared" si="76"/>
        <v>1922.1333333333339</v>
      </c>
      <c r="AF58" s="538">
        <f t="shared" si="77"/>
        <v>1.9301470588235291E-2</v>
      </c>
      <c r="AH58" s="177">
        <f t="shared" si="78"/>
        <v>0.69611164950130566</v>
      </c>
      <c r="AI58" s="177">
        <f t="shared" si="79"/>
        <v>0.69611164950130566</v>
      </c>
      <c r="AJ58" s="177">
        <f t="shared" si="80"/>
        <v>1.4934160366676337</v>
      </c>
      <c r="AL58" s="555">
        <f t="shared" si="81"/>
        <v>106.00000000000001</v>
      </c>
      <c r="AM58" s="469">
        <f t="shared" si="82"/>
        <v>350</v>
      </c>
      <c r="AO58">
        <f t="shared" si="53"/>
        <v>106.00000000000001</v>
      </c>
      <c r="AP58" s="469">
        <f t="shared" si="24"/>
        <v>350</v>
      </c>
      <c r="AQ58" s="469"/>
      <c r="AR58" s="5">
        <f t="shared" si="54"/>
        <v>2.8571428571428572</v>
      </c>
      <c r="AS58" s="5">
        <f t="shared" si="25"/>
        <v>0.65260467140747414</v>
      </c>
      <c r="AT58" s="5">
        <f t="shared" si="55"/>
        <v>2.204538185735383</v>
      </c>
      <c r="AU58" s="177">
        <f t="shared" si="56"/>
        <v>0.22841163499261594</v>
      </c>
      <c r="AW58" s="5">
        <f t="shared" si="83"/>
        <v>0.80504166666666677</v>
      </c>
      <c r="AX58" s="5">
        <f t="shared" si="84"/>
        <v>0.67981792666666674</v>
      </c>
      <c r="AY58" s="5">
        <f t="shared" si="85"/>
        <v>0.20126041666666669</v>
      </c>
      <c r="AZ58" s="5">
        <f t="shared" si="86"/>
        <v>0.5171567348484849</v>
      </c>
      <c r="BA58" s="5">
        <f t="shared" si="87"/>
        <v>0.12170887900414096</v>
      </c>
      <c r="BB58" s="469">
        <f t="shared" si="88"/>
        <v>19.738420640662554</v>
      </c>
      <c r="BC58" s="5"/>
      <c r="BD58" s="177">
        <f t="shared" si="57"/>
        <v>0.19207789415643128</v>
      </c>
      <c r="BE58" s="177">
        <f t="shared" si="89"/>
        <v>0.28242367277576746</v>
      </c>
      <c r="BF58" s="177">
        <f t="shared" si="90"/>
        <v>0.14121183638788373</v>
      </c>
      <c r="BG58" s="177"/>
      <c r="BH58" s="538">
        <f t="shared" si="34"/>
        <v>1.2912871098249226E-2</v>
      </c>
      <c r="BI58" s="538">
        <f t="shared" si="35"/>
        <v>6.2839390823781871E-2</v>
      </c>
      <c r="BJ58" s="538">
        <f t="shared" si="36"/>
        <v>4.3749999999999995E-3</v>
      </c>
      <c r="BK58" s="538">
        <f t="shared" si="37"/>
        <v>4.6565908480000008E-2</v>
      </c>
      <c r="BL58">
        <f t="shared" si="38"/>
        <v>9.2800000000000001E-3</v>
      </c>
      <c r="BM58">
        <f t="shared" si="91"/>
        <v>2.3625000000000002E-5</v>
      </c>
      <c r="BN58">
        <f t="shared" si="92"/>
        <v>0.13806897193176232</v>
      </c>
      <c r="BO58" s="469">
        <f t="shared" si="58"/>
        <v>138.06897193176232</v>
      </c>
      <c r="BP58" s="177">
        <f t="shared" si="93"/>
        <v>7.0961516020666762E-2</v>
      </c>
      <c r="BQ58" s="177">
        <f t="shared" si="94"/>
        <v>2.7863379005166687E-2</v>
      </c>
      <c r="BR58" s="538"/>
      <c r="BT58" s="469">
        <f t="shared" si="59"/>
        <v>98.824895025833442</v>
      </c>
      <c r="BU58" s="538">
        <f t="shared" si="43"/>
        <v>3.6893917423569222E-3</v>
      </c>
      <c r="BV58" s="538">
        <f t="shared" si="60"/>
        <v>2.392893928324613E-3</v>
      </c>
      <c r="BW58" s="538">
        <f t="shared" si="95"/>
        <v>9.9703913680192213E-4</v>
      </c>
      <c r="BX58" s="538">
        <f t="shared" si="45"/>
        <v>0</v>
      </c>
      <c r="BY58" s="538">
        <f t="shared" si="96"/>
        <v>7.933336797821388E-3</v>
      </c>
      <c r="BZ58" s="538">
        <f t="shared" si="61"/>
        <v>7.0793248074834574E-3</v>
      </c>
      <c r="CA58" s="641">
        <f t="shared" si="97"/>
        <v>8.4799999999999997E-3</v>
      </c>
      <c r="CB58" s="469">
        <f t="shared" si="62"/>
        <v>16.413336797821387</v>
      </c>
      <c r="CC58" s="177">
        <f t="shared" si="63"/>
        <v>0.25330720375541715</v>
      </c>
      <c r="CD58" s="5">
        <f t="shared" si="64"/>
        <v>2.5440000000000005</v>
      </c>
      <c r="CE58" s="177">
        <f t="shared" si="65"/>
        <v>0.90944605461447015</v>
      </c>
      <c r="CF58" s="5">
        <f t="shared" si="66"/>
        <v>90.944605461447011</v>
      </c>
      <c r="CG58">
        <f t="shared" si="102"/>
        <v>53</v>
      </c>
      <c r="CI58" s="571">
        <f t="shared" si="98"/>
        <v>-50</v>
      </c>
      <c r="CJ58">
        <f t="shared" si="99"/>
        <v>-50</v>
      </c>
    </row>
    <row r="59" spans="5:88" x14ac:dyDescent="0.25">
      <c r="E59" s="174">
        <v>54</v>
      </c>
      <c r="F59" s="221">
        <f t="shared" si="103"/>
        <v>0.10800000000000001</v>
      </c>
      <c r="G59" s="221">
        <f t="shared" si="100"/>
        <v>5.4000000000000006E-2</v>
      </c>
      <c r="H59" s="221">
        <f t="shared" si="70"/>
        <v>1.7280000000000002</v>
      </c>
      <c r="I59" s="221">
        <f t="shared" si="104"/>
        <v>0.8640000000000001</v>
      </c>
      <c r="J59" s="551">
        <f t="shared" si="1"/>
        <v>32</v>
      </c>
      <c r="K59" s="451">
        <f t="shared" si="2"/>
        <v>19.584</v>
      </c>
      <c r="L59" s="451">
        <f t="shared" si="3"/>
        <v>51.584000000000003</v>
      </c>
      <c r="M59" s="451"/>
      <c r="N59" s="221">
        <f t="shared" si="4"/>
        <v>0.37965260545905705</v>
      </c>
      <c r="O59" s="176">
        <f t="shared" si="101"/>
        <v>5.4669975186104214</v>
      </c>
      <c r="P59" s="176">
        <f t="shared" si="71"/>
        <v>2.7334987593052107</v>
      </c>
      <c r="Q59" s="221">
        <f t="shared" si="6"/>
        <v>0.34168734491315134</v>
      </c>
      <c r="R59" s="221">
        <f t="shared" si="72"/>
        <v>0.34168734491315134</v>
      </c>
      <c r="S59" s="451">
        <f t="shared" si="73"/>
        <v>16</v>
      </c>
      <c r="T59" s="221">
        <f t="shared" si="74"/>
        <v>0.47411764705882364</v>
      </c>
      <c r="U59" s="221">
        <f t="shared" si="10"/>
        <v>0.44448529411764715</v>
      </c>
      <c r="V59" s="221">
        <f t="shared" si="11"/>
        <v>0.72628316032295281</v>
      </c>
      <c r="W59" s="201">
        <f t="shared" si="12"/>
        <v>350</v>
      </c>
      <c r="X59" s="451">
        <f t="shared" si="52"/>
        <v>350</v>
      </c>
      <c r="Z59" s="221">
        <f t="shared" si="13"/>
        <v>1.1570365118752215</v>
      </c>
      <c r="AA59" s="177">
        <f t="shared" si="14"/>
        <v>1.7724211272598367</v>
      </c>
      <c r="AB59" s="177">
        <f t="shared" si="75"/>
        <v>0.2871058342122137</v>
      </c>
      <c r="AC59" s="177"/>
      <c r="AD59" s="177">
        <f t="shared" si="16"/>
        <v>0.4595588235294118</v>
      </c>
      <c r="AE59" s="555">
        <f t="shared" si="76"/>
        <v>1958.4000000000005</v>
      </c>
      <c r="AF59" s="538">
        <f t="shared" si="77"/>
        <v>1.9301470588235291E-2</v>
      </c>
      <c r="AH59" s="177">
        <f t="shared" si="78"/>
        <v>0.70264805252294393</v>
      </c>
      <c r="AI59" s="177">
        <f t="shared" si="79"/>
        <v>0.70264805252294393</v>
      </c>
      <c r="AJ59" s="177">
        <f t="shared" si="80"/>
        <v>1.4982578166836622</v>
      </c>
      <c r="AL59" s="555">
        <f t="shared" si="81"/>
        <v>108.00000000000001</v>
      </c>
      <c r="AM59" s="469">
        <f t="shared" si="82"/>
        <v>350</v>
      </c>
      <c r="AO59">
        <f t="shared" si="53"/>
        <v>108.00000000000001</v>
      </c>
      <c r="AP59" s="469">
        <f t="shared" si="24"/>
        <v>350</v>
      </c>
      <c r="AQ59" s="469"/>
      <c r="AR59" s="5">
        <f t="shared" si="54"/>
        <v>2.8571428571428572</v>
      </c>
      <c r="AS59" s="5">
        <f t="shared" si="25"/>
        <v>0.65873254924026003</v>
      </c>
      <c r="AT59" s="5">
        <f t="shared" si="55"/>
        <v>2.1984103079025972</v>
      </c>
      <c r="AU59" s="177">
        <f t="shared" si="56"/>
        <v>0.230556392234091</v>
      </c>
      <c r="AW59" s="5">
        <f t="shared" si="83"/>
        <v>0.80504166666666677</v>
      </c>
      <c r="AX59" s="5">
        <f t="shared" si="84"/>
        <v>0.6996002400000001</v>
      </c>
      <c r="AY59" s="5">
        <f t="shared" si="85"/>
        <v>0.20126041666666669</v>
      </c>
      <c r="AZ59" s="5">
        <f t="shared" si="86"/>
        <v>0.53481845454545451</v>
      </c>
      <c r="BA59" s="5">
        <f t="shared" si="87"/>
        <v>0.12366057981952111</v>
      </c>
      <c r="BB59" s="469">
        <f t="shared" si="88"/>
        <v>20.055692771123375</v>
      </c>
      <c r="BC59" s="5"/>
      <c r="BD59" s="177">
        <f t="shared" si="57"/>
        <v>0.19478961685941831</v>
      </c>
      <c r="BE59" s="177">
        <f t="shared" si="89"/>
        <v>0.28467911337244489</v>
      </c>
      <c r="BF59" s="177">
        <f t="shared" si="90"/>
        <v>0.14233955668622245</v>
      </c>
      <c r="BG59" s="177"/>
      <c r="BH59" s="538">
        <f t="shared" si="34"/>
        <v>1.3280048192683643E-2</v>
      </c>
      <c r="BI59" s="538">
        <f t="shared" si="35"/>
        <v>6.3429444997351203E-2</v>
      </c>
      <c r="BJ59" s="538">
        <f t="shared" si="36"/>
        <v>4.3749999999999995E-3</v>
      </c>
      <c r="BK59" s="538">
        <f t="shared" si="37"/>
        <v>4.6565908480000008E-2</v>
      </c>
      <c r="BL59">
        <f t="shared" si="38"/>
        <v>9.2800000000000001E-3</v>
      </c>
      <c r="BM59">
        <f t="shared" si="91"/>
        <v>2.3625000000000002E-5</v>
      </c>
      <c r="BN59">
        <f t="shared" si="92"/>
        <v>0.13908762133905181</v>
      </c>
      <c r="BO59" s="469">
        <f t="shared" si="58"/>
        <v>139.08762133905182</v>
      </c>
      <c r="BP59" s="177">
        <f t="shared" si="93"/>
        <v>7.2214119479579161E-2</v>
      </c>
      <c r="BQ59" s="177">
        <f t="shared" si="94"/>
        <v>2.8367529869894791E-2</v>
      </c>
      <c r="BR59" s="538"/>
      <c r="BT59" s="469">
        <f t="shared" si="59"/>
        <v>100.58164934947395</v>
      </c>
      <c r="BU59" s="538">
        <f t="shared" si="43"/>
        <v>3.7942994836238984E-3</v>
      </c>
      <c r="BV59" s="538">
        <f t="shared" si="60"/>
        <v>2.4312659277156401E-3</v>
      </c>
      <c r="BW59" s="538">
        <f t="shared" si="95"/>
        <v>1.0130274698815168E-3</v>
      </c>
      <c r="BX59" s="538">
        <f t="shared" si="45"/>
        <v>0</v>
      </c>
      <c r="BY59" s="538">
        <f t="shared" si="96"/>
        <v>8.1119215387678665E-3</v>
      </c>
      <c r="BZ59" s="538">
        <f t="shared" si="61"/>
        <v>7.2385928812210556E-3</v>
      </c>
      <c r="CA59" s="641">
        <f t="shared" si="97"/>
        <v>8.6400000000000018E-3</v>
      </c>
      <c r="CB59" s="469">
        <f t="shared" si="62"/>
        <v>16.751921538767867</v>
      </c>
      <c r="CC59" s="177">
        <f t="shared" si="63"/>
        <v>0.25642119222729359</v>
      </c>
      <c r="CD59" s="5">
        <f t="shared" si="64"/>
        <v>2.5920000000000005</v>
      </c>
      <c r="CE59" s="177">
        <f t="shared" si="65"/>
        <v>0.90997778245471217</v>
      </c>
      <c r="CF59" s="5">
        <f t="shared" si="66"/>
        <v>90.99777824547121</v>
      </c>
      <c r="CG59">
        <f t="shared" si="102"/>
        <v>54</v>
      </c>
      <c r="CI59" s="571">
        <f t="shared" si="98"/>
        <v>-50</v>
      </c>
      <c r="CJ59">
        <f t="shared" si="99"/>
        <v>-50</v>
      </c>
    </row>
    <row r="60" spans="5:88" x14ac:dyDescent="0.25">
      <c r="E60" s="174">
        <v>55</v>
      </c>
      <c r="F60" s="221">
        <f t="shared" si="103"/>
        <v>0.11000000000000001</v>
      </c>
      <c r="G60" s="221">
        <f t="shared" si="100"/>
        <v>5.5000000000000007E-2</v>
      </c>
      <c r="H60" s="221">
        <f t="shared" si="70"/>
        <v>1.7600000000000002</v>
      </c>
      <c r="I60" s="221">
        <f t="shared" si="104"/>
        <v>0.88000000000000012</v>
      </c>
      <c r="J60" s="551">
        <f t="shared" si="1"/>
        <v>32</v>
      </c>
      <c r="K60" s="451">
        <f t="shared" si="2"/>
        <v>19.584</v>
      </c>
      <c r="L60" s="451">
        <f t="shared" si="3"/>
        <v>51.584000000000003</v>
      </c>
      <c r="M60" s="451"/>
      <c r="N60" s="221">
        <f t="shared" si="4"/>
        <v>0.37965260545905705</v>
      </c>
      <c r="O60" s="176">
        <f t="shared" si="101"/>
        <v>5.4669975186104214</v>
      </c>
      <c r="P60" s="176">
        <f t="shared" si="71"/>
        <v>2.7334987593052107</v>
      </c>
      <c r="Q60" s="221">
        <f t="shared" si="6"/>
        <v>0.34168734491315134</v>
      </c>
      <c r="R60" s="221">
        <f t="shared" si="72"/>
        <v>0.34168734491315134</v>
      </c>
      <c r="S60" s="451">
        <f t="shared" si="73"/>
        <v>16</v>
      </c>
      <c r="T60" s="221">
        <f t="shared" si="74"/>
        <v>0.48289760348583893</v>
      </c>
      <c r="U60" s="221">
        <f t="shared" si="10"/>
        <v>0.45271650326797402</v>
      </c>
      <c r="V60" s="221">
        <f t="shared" si="11"/>
        <v>0.73973284847708176</v>
      </c>
      <c r="W60" s="201">
        <f t="shared" si="12"/>
        <v>350</v>
      </c>
      <c r="X60" s="451">
        <f t="shared" si="52"/>
        <v>350</v>
      </c>
      <c r="Z60" s="221">
        <f t="shared" si="13"/>
        <v>1.1570365118752215</v>
      </c>
      <c r="AA60" s="177">
        <f t="shared" si="14"/>
        <v>1.7724211272598367</v>
      </c>
      <c r="AB60" s="177">
        <f t="shared" si="75"/>
        <v>0.2871058342122137</v>
      </c>
      <c r="AC60" s="177"/>
      <c r="AD60" s="177">
        <f t="shared" si="16"/>
        <v>0.4595588235294118</v>
      </c>
      <c r="AE60" s="555">
        <f t="shared" si="76"/>
        <v>1994.6666666666672</v>
      </c>
      <c r="AF60" s="538">
        <f t="shared" si="77"/>
        <v>1.9301470588235291E-2</v>
      </c>
      <c r="AH60" s="177">
        <f t="shared" si="78"/>
        <v>0.70912420834233481</v>
      </c>
      <c r="AI60" s="177">
        <f t="shared" si="79"/>
        <v>0.70912420834233481</v>
      </c>
      <c r="AJ60" s="177">
        <f t="shared" si="80"/>
        <v>1.5030549691424702</v>
      </c>
      <c r="AL60" s="555">
        <f t="shared" si="81"/>
        <v>110.00000000000001</v>
      </c>
      <c r="AM60" s="469">
        <f t="shared" si="82"/>
        <v>350</v>
      </c>
      <c r="AO60">
        <f t="shared" si="53"/>
        <v>110.00000000000001</v>
      </c>
      <c r="AP60">
        <f t="shared" si="24"/>
        <v>350</v>
      </c>
      <c r="AR60" s="5">
        <f t="shared" si="54"/>
        <v>2.8571428571428572</v>
      </c>
      <c r="AS60" s="5">
        <f t="shared" si="25"/>
        <v>0.66480394532093889</v>
      </c>
      <c r="AT60" s="5">
        <f t="shared" si="55"/>
        <v>2.1923389118219183</v>
      </c>
      <c r="AU60" s="177">
        <f t="shared" si="56"/>
        <v>0.23268138086232862</v>
      </c>
      <c r="AW60" s="5">
        <f t="shared" si="83"/>
        <v>0.80504166666666677</v>
      </c>
      <c r="AX60" s="5">
        <f t="shared" si="84"/>
        <v>0.71964016666666675</v>
      </c>
      <c r="AY60" s="5">
        <f t="shared" si="85"/>
        <v>0.20126041666666669</v>
      </c>
      <c r="AZ60" s="5">
        <f t="shared" si="86"/>
        <v>0.55277291666666672</v>
      </c>
      <c r="BA60" s="5">
        <f t="shared" si="87"/>
        <v>0.1256027501564641</v>
      </c>
      <c r="BB60" s="469">
        <f t="shared" si="88"/>
        <v>20.371440025034257</v>
      </c>
      <c r="BC60" s="5"/>
      <c r="BD60" s="177">
        <f t="shared" si="57"/>
        <v>0.19748881350301448</v>
      </c>
      <c r="BE60" s="177">
        <f t="shared" si="89"/>
        <v>0.28690593988716984</v>
      </c>
      <c r="BF60" s="177">
        <f t="shared" si="90"/>
        <v>0.14345296994358492</v>
      </c>
      <c r="BG60" s="177"/>
      <c r="BH60" s="538">
        <f t="shared" si="34"/>
        <v>1.3650641010589951E-2</v>
      </c>
      <c r="BI60" s="538">
        <f t="shared" si="35"/>
        <v>6.4014060535479256E-2</v>
      </c>
      <c r="BJ60" s="538">
        <f t="shared" si="36"/>
        <v>4.3749999999999995E-3</v>
      </c>
      <c r="BK60" s="538">
        <f t="shared" si="37"/>
        <v>4.6565908480000008E-2</v>
      </c>
      <c r="BL60">
        <f t="shared" si="38"/>
        <v>9.2800000000000001E-3</v>
      </c>
      <c r="BM60">
        <f t="shared" si="91"/>
        <v>2.3625000000000002E-5</v>
      </c>
      <c r="BN60">
        <f t="shared" si="92"/>
        <v>0.14010493189532081</v>
      </c>
      <c r="BO60" s="469">
        <f t="shared" si="58"/>
        <v>140.10493189532082</v>
      </c>
      <c r="BP60" s="177">
        <f t="shared" si="93"/>
        <v>7.3464337006850414E-2</v>
      </c>
      <c r="BQ60" s="177">
        <f t="shared" si="94"/>
        <v>2.8871084251712604E-2</v>
      </c>
      <c r="BR60" s="538"/>
      <c r="BT60" s="469">
        <f t="shared" si="59"/>
        <v>102.33542125856302</v>
      </c>
      <c r="BU60" s="538">
        <f t="shared" si="43"/>
        <v>3.9001831458828438E-3</v>
      </c>
      <c r="BV60" s="538">
        <f t="shared" si="60"/>
        <v>2.4694505502762089E-3</v>
      </c>
      <c r="BW60" s="538">
        <f t="shared" si="95"/>
        <v>1.0289377292817539E-3</v>
      </c>
      <c r="BX60" s="538">
        <f t="shared" si="45"/>
        <v>0</v>
      </c>
      <c r="BY60" s="538">
        <f t="shared" si="96"/>
        <v>8.2913075029553765E-3</v>
      </c>
      <c r="BZ60" s="538">
        <f t="shared" si="61"/>
        <v>7.3985714254408063E-3</v>
      </c>
      <c r="CA60" s="641">
        <f t="shared" si="97"/>
        <v>8.8000000000000057E-3</v>
      </c>
      <c r="CB60" s="469">
        <f t="shared" si="62"/>
        <v>17.091307502955381</v>
      </c>
      <c r="CC60" s="177">
        <f t="shared" si="63"/>
        <v>0.25953166065683925</v>
      </c>
      <c r="CD60" s="5">
        <f t="shared" si="64"/>
        <v>2.6400000000000006</v>
      </c>
      <c r="CE60" s="177">
        <f t="shared" si="65"/>
        <v>0.91049186867714804</v>
      </c>
      <c r="CF60" s="5">
        <f t="shared" si="66"/>
        <v>91.049186867714809</v>
      </c>
      <c r="CG60">
        <f t="shared" si="102"/>
        <v>55.000000000000007</v>
      </c>
      <c r="CI60" s="571">
        <f t="shared" si="98"/>
        <v>-50</v>
      </c>
      <c r="CJ60">
        <f t="shared" si="99"/>
        <v>-50</v>
      </c>
    </row>
    <row r="61" spans="5:88" x14ac:dyDescent="0.25">
      <c r="E61" s="174">
        <v>56</v>
      </c>
      <c r="F61" s="221">
        <f t="shared" si="103"/>
        <v>0.11200000000000002</v>
      </c>
      <c r="G61" s="221">
        <f t="shared" si="100"/>
        <v>5.6000000000000008E-2</v>
      </c>
      <c r="H61" s="221">
        <f t="shared" si="70"/>
        <v>1.7920000000000003</v>
      </c>
      <c r="I61" s="221">
        <f t="shared" si="104"/>
        <v>0.89600000000000013</v>
      </c>
      <c r="J61" s="551">
        <f t="shared" si="1"/>
        <v>32</v>
      </c>
      <c r="K61" s="451">
        <f t="shared" si="2"/>
        <v>19.584</v>
      </c>
      <c r="L61" s="451">
        <f t="shared" si="3"/>
        <v>51.584000000000003</v>
      </c>
      <c r="M61" s="451"/>
      <c r="N61" s="221">
        <f t="shared" si="4"/>
        <v>0.37965260545905705</v>
      </c>
      <c r="O61" s="176">
        <f t="shared" si="101"/>
        <v>5.4669975186104214</v>
      </c>
      <c r="P61" s="176">
        <f t="shared" si="71"/>
        <v>2.7334987593052107</v>
      </c>
      <c r="Q61" s="221">
        <f t="shared" si="6"/>
        <v>0.34168734491315134</v>
      </c>
      <c r="R61" s="221">
        <f t="shared" si="72"/>
        <v>0.34168734491315134</v>
      </c>
      <c r="S61" s="451">
        <f t="shared" si="73"/>
        <v>16</v>
      </c>
      <c r="T61" s="221">
        <f t="shared" si="74"/>
        <v>0.49167755991285417</v>
      </c>
      <c r="U61" s="221">
        <f t="shared" si="10"/>
        <v>0.46094771241830079</v>
      </c>
      <c r="V61" s="221">
        <f t="shared" si="11"/>
        <v>0.75318253663121049</v>
      </c>
      <c r="W61" s="201">
        <f t="shared" si="12"/>
        <v>350</v>
      </c>
      <c r="X61" s="451">
        <f t="shared" si="52"/>
        <v>350</v>
      </c>
      <c r="Z61" s="221">
        <f t="shared" si="13"/>
        <v>1.1570365118752215</v>
      </c>
      <c r="AA61" s="177">
        <f t="shared" si="14"/>
        <v>1.7724211272598367</v>
      </c>
      <c r="AB61" s="177">
        <f t="shared" si="75"/>
        <v>0.2871058342122137</v>
      </c>
      <c r="AC61" s="177"/>
      <c r="AD61" s="177">
        <f t="shared" si="16"/>
        <v>0.4595588235294118</v>
      </c>
      <c r="AE61" s="555">
        <f t="shared" si="76"/>
        <v>2030.9333333333341</v>
      </c>
      <c r="AF61" s="538">
        <f t="shared" si="77"/>
        <v>1.9301470588235291E-2</v>
      </c>
      <c r="AH61" s="177">
        <f t="shared" si="78"/>
        <v>0.71554175279993282</v>
      </c>
      <c r="AI61" s="177">
        <f t="shared" si="79"/>
        <v>0.71554175279993282</v>
      </c>
      <c r="AJ61" s="177">
        <f t="shared" si="80"/>
        <v>1.5078087057777281</v>
      </c>
      <c r="AL61" s="555">
        <f t="shared" si="81"/>
        <v>112.00000000000001</v>
      </c>
      <c r="AM61" s="469">
        <f t="shared" si="82"/>
        <v>350</v>
      </c>
      <c r="AO61">
        <f t="shared" si="53"/>
        <v>112.00000000000001</v>
      </c>
      <c r="AP61">
        <f t="shared" si="24"/>
        <v>350</v>
      </c>
      <c r="AR61" s="5">
        <f t="shared" si="54"/>
        <v>2.8571428571428572</v>
      </c>
      <c r="AS61" s="5">
        <f t="shared" si="25"/>
        <v>0.67082039324993703</v>
      </c>
      <c r="AT61" s="5">
        <f t="shared" si="55"/>
        <v>2.1863224638929202</v>
      </c>
      <c r="AU61" s="177">
        <f t="shared" si="56"/>
        <v>0.23478713763747797</v>
      </c>
      <c r="AW61" s="5">
        <f t="shared" si="83"/>
        <v>0.80504166666666677</v>
      </c>
      <c r="AX61" s="5">
        <f t="shared" si="84"/>
        <v>0.73993770666666669</v>
      </c>
      <c r="AY61" s="5">
        <f t="shared" si="85"/>
        <v>0.20126041666666669</v>
      </c>
      <c r="AZ61" s="5">
        <f t="shared" si="86"/>
        <v>0.5710201212121212</v>
      </c>
      <c r="BA61" s="5">
        <f t="shared" si="87"/>
        <v>0.12753547706042034</v>
      </c>
      <c r="BB61" s="469">
        <f t="shared" si="88"/>
        <v>20.685676329667256</v>
      </c>
      <c r="BC61" s="5"/>
      <c r="BD61" s="177">
        <f t="shared" si="57"/>
        <v>0.20017576815587906</v>
      </c>
      <c r="BE61" s="177">
        <f t="shared" si="89"/>
        <v>0.28910491217950118</v>
      </c>
      <c r="BF61" s="177">
        <f t="shared" si="90"/>
        <v>0.14455245608975059</v>
      </c>
      <c r="BG61" s="177"/>
      <c r="BH61" s="538">
        <f t="shared" si="34"/>
        <v>1.4024618354878685E-2</v>
      </c>
      <c r="BI61" s="538">
        <f t="shared" si="35"/>
        <v>6.4593385108755536E-2</v>
      </c>
      <c r="BJ61" s="538">
        <f t="shared" si="36"/>
        <v>4.3749999999999995E-3</v>
      </c>
      <c r="BK61" s="538">
        <f t="shared" si="37"/>
        <v>4.6565908480000008E-2</v>
      </c>
      <c r="BL61">
        <f t="shared" si="38"/>
        <v>9.2800000000000001E-3</v>
      </c>
      <c r="BM61">
        <f t="shared" si="91"/>
        <v>2.3625000000000002E-5</v>
      </c>
      <c r="BN61">
        <f t="shared" si="92"/>
        <v>0.14112101699229662</v>
      </c>
      <c r="BO61" s="469">
        <f t="shared" si="58"/>
        <v>141.12101699229663</v>
      </c>
      <c r="BP61" s="177">
        <f t="shared" si="93"/>
        <v>7.4712190394093131E-2</v>
      </c>
      <c r="BQ61" s="177">
        <f t="shared" si="94"/>
        <v>2.9374047598523287E-2</v>
      </c>
      <c r="BR61" s="538"/>
      <c r="BT61" s="469">
        <f t="shared" si="59"/>
        <v>104.08623799261642</v>
      </c>
      <c r="BU61" s="538">
        <f t="shared" si="43"/>
        <v>4.0070338156796247E-3</v>
      </c>
      <c r="BV61" s="538">
        <f t="shared" si="60"/>
        <v>2.5074495073895125E-3</v>
      </c>
      <c r="BW61" s="538">
        <f t="shared" si="95"/>
        <v>1.0447706280789636E-3</v>
      </c>
      <c r="BX61" s="538">
        <f t="shared" si="45"/>
        <v>0</v>
      </c>
      <c r="BY61" s="538">
        <f t="shared" si="96"/>
        <v>8.4714874752994541E-3</v>
      </c>
      <c r="BZ61" s="538">
        <f t="shared" si="61"/>
        <v>7.5592539511481005E-3</v>
      </c>
      <c r="CA61" s="641">
        <f t="shared" si="97"/>
        <v>8.9600000000000027E-3</v>
      </c>
      <c r="CB61" s="469">
        <f t="shared" si="62"/>
        <v>17.431487475299456</v>
      </c>
      <c r="CC61" s="177">
        <f t="shared" si="63"/>
        <v>0.26263874246021252</v>
      </c>
      <c r="CD61" s="5">
        <f t="shared" si="64"/>
        <v>2.6880000000000006</v>
      </c>
      <c r="CE61" s="177">
        <f t="shared" si="65"/>
        <v>0.91098919068580153</v>
      </c>
      <c r="CF61" s="5">
        <f t="shared" si="66"/>
        <v>91.098919068580159</v>
      </c>
      <c r="CG61">
        <f t="shared" si="102"/>
        <v>56.000000000000007</v>
      </c>
      <c r="CI61" s="571">
        <f t="shared" si="98"/>
        <v>-50</v>
      </c>
      <c r="CJ61">
        <f t="shared" si="99"/>
        <v>-50</v>
      </c>
    </row>
    <row r="62" spans="5:88" x14ac:dyDescent="0.25">
      <c r="E62" s="174">
        <v>57</v>
      </c>
      <c r="F62" s="221">
        <f t="shared" si="103"/>
        <v>0.11399999999999999</v>
      </c>
      <c r="G62" s="221">
        <f t="shared" si="100"/>
        <v>5.6999999999999995E-2</v>
      </c>
      <c r="H62" s="221">
        <f t="shared" si="70"/>
        <v>1.8239999999999998</v>
      </c>
      <c r="I62" s="221">
        <f t="shared" si="104"/>
        <v>0.91199999999999992</v>
      </c>
      <c r="J62" s="551">
        <f t="shared" si="1"/>
        <v>32</v>
      </c>
      <c r="K62" s="451">
        <f t="shared" si="2"/>
        <v>19.584</v>
      </c>
      <c r="L62" s="451">
        <f t="shared" si="3"/>
        <v>51.584000000000003</v>
      </c>
      <c r="M62" s="451"/>
      <c r="N62" s="221">
        <f t="shared" si="4"/>
        <v>0.37965260545905705</v>
      </c>
      <c r="O62" s="176">
        <f t="shared" si="101"/>
        <v>5.4669975186104214</v>
      </c>
      <c r="P62" s="176">
        <f t="shared" si="71"/>
        <v>2.7334987593052107</v>
      </c>
      <c r="Q62" s="221">
        <f t="shared" si="6"/>
        <v>0.34168734491315134</v>
      </c>
      <c r="R62" s="221">
        <f t="shared" si="72"/>
        <v>0.34168734491315134</v>
      </c>
      <c r="S62" s="451">
        <f t="shared" si="73"/>
        <v>16</v>
      </c>
      <c r="T62" s="221">
        <f t="shared" si="74"/>
        <v>0.50045751633986924</v>
      </c>
      <c r="U62" s="221">
        <f t="shared" si="10"/>
        <v>0.46917892156862745</v>
      </c>
      <c r="V62" s="221">
        <f t="shared" si="11"/>
        <v>0.76663222478533899</v>
      </c>
      <c r="W62" s="201">
        <f t="shared" si="12"/>
        <v>350</v>
      </c>
      <c r="X62" s="451">
        <f t="shared" si="52"/>
        <v>350</v>
      </c>
      <c r="Z62" s="221">
        <f t="shared" si="13"/>
        <v>1.1570365118752215</v>
      </c>
      <c r="AA62" s="177">
        <f t="shared" si="14"/>
        <v>1.7724211272598367</v>
      </c>
      <c r="AB62" s="177">
        <f t="shared" si="75"/>
        <v>0.2871058342122137</v>
      </c>
      <c r="AC62" s="177"/>
      <c r="AD62" s="177">
        <f t="shared" si="16"/>
        <v>0.4595588235294118</v>
      </c>
      <c r="AE62" s="555">
        <f t="shared" si="76"/>
        <v>2067.1999999999998</v>
      </c>
      <c r="AF62" s="538">
        <f t="shared" si="77"/>
        <v>1.9301470588235291E-2</v>
      </c>
      <c r="AH62" s="177">
        <f t="shared" si="78"/>
        <v>0.72190224902188604</v>
      </c>
      <c r="AI62" s="177">
        <f t="shared" si="79"/>
        <v>0.72190224902188604</v>
      </c>
      <c r="AJ62" s="177">
        <f t="shared" si="80"/>
        <v>1.5125201844606564</v>
      </c>
      <c r="AL62" s="555">
        <f t="shared" si="81"/>
        <v>113.99999999999999</v>
      </c>
      <c r="AM62" s="469">
        <f t="shared" si="82"/>
        <v>350</v>
      </c>
      <c r="AO62">
        <f t="shared" si="53"/>
        <v>113.99999999999999</v>
      </c>
      <c r="AP62">
        <f t="shared" si="24"/>
        <v>350</v>
      </c>
      <c r="AR62" s="5">
        <f t="shared" si="54"/>
        <v>2.8571428571428572</v>
      </c>
      <c r="AS62" s="5">
        <f t="shared" si="25"/>
        <v>0.67678335845801818</v>
      </c>
      <c r="AT62" s="5">
        <f t="shared" si="55"/>
        <v>2.1803594986848389</v>
      </c>
      <c r="AU62" s="177">
        <f t="shared" si="56"/>
        <v>0.23687417546030637</v>
      </c>
      <c r="AW62" s="5">
        <f t="shared" si="83"/>
        <v>0.80504166666666677</v>
      </c>
      <c r="AX62" s="5">
        <f t="shared" si="84"/>
        <v>0.76049285999999983</v>
      </c>
      <c r="AY62" s="5">
        <f t="shared" si="85"/>
        <v>0.20126041666666669</v>
      </c>
      <c r="AZ62" s="5">
        <f t="shared" si="86"/>
        <v>0.58956006818181794</v>
      </c>
      <c r="BA62" s="5">
        <f t="shared" si="87"/>
        <v>0.12945884523441228</v>
      </c>
      <c r="BB62" s="469">
        <f t="shared" si="88"/>
        <v>20.998415237505967</v>
      </c>
      <c r="BC62" s="5"/>
      <c r="BD62" s="177">
        <f t="shared" si="57"/>
        <v>0.20285075349686901</v>
      </c>
      <c r="BE62" s="177">
        <f t="shared" si="89"/>
        <v>0.29127675638956235</v>
      </c>
      <c r="BF62" s="177">
        <f t="shared" si="90"/>
        <v>0.14563837819478118</v>
      </c>
      <c r="BG62" s="177"/>
      <c r="BH62" s="538">
        <f t="shared" si="34"/>
        <v>1.4401949867986629E-2</v>
      </c>
      <c r="BI62" s="538">
        <f t="shared" si="35"/>
        <v>6.5167559823703688E-2</v>
      </c>
      <c r="BJ62" s="538">
        <f t="shared" si="36"/>
        <v>4.3749999999999995E-3</v>
      </c>
      <c r="BK62" s="538">
        <f t="shared" si="37"/>
        <v>4.6565908480000008E-2</v>
      </c>
      <c r="BL62">
        <f t="shared" si="38"/>
        <v>9.2800000000000001E-3</v>
      </c>
      <c r="BM62">
        <f t="shared" si="91"/>
        <v>2.3625000000000002E-5</v>
      </c>
      <c r="BN62">
        <f t="shared" si="92"/>
        <v>0.14213598442078954</v>
      </c>
      <c r="BO62" s="469">
        <f t="shared" si="58"/>
        <v>142.13598442078953</v>
      </c>
      <c r="BP62" s="177">
        <f t="shared" si="93"/>
        <v>7.5957700846498943E-2</v>
      </c>
      <c r="BQ62" s="177">
        <f t="shared" si="94"/>
        <v>2.9876425211624737E-2</v>
      </c>
      <c r="BR62" s="538"/>
      <c r="BT62" s="469">
        <f t="shared" si="59"/>
        <v>105.83412605812367</v>
      </c>
      <c r="BU62" s="538">
        <f t="shared" si="43"/>
        <v>4.1148428194247516E-3</v>
      </c>
      <c r="BV62" s="538">
        <f t="shared" si="60"/>
        <v>2.5452644643847336E-3</v>
      </c>
      <c r="BW62" s="538">
        <f t="shared" si="95"/>
        <v>1.0605268601603056E-3</v>
      </c>
      <c r="BX62" s="538">
        <f t="shared" si="45"/>
        <v>0</v>
      </c>
      <c r="BY62" s="538">
        <f t="shared" si="96"/>
        <v>8.6524544360580199E-3</v>
      </c>
      <c r="BZ62" s="538">
        <f t="shared" si="61"/>
        <v>7.7206341439697906E-3</v>
      </c>
      <c r="CA62" s="641">
        <f t="shared" si="97"/>
        <v>9.1200000000000014E-3</v>
      </c>
      <c r="CB62" s="469">
        <f t="shared" si="62"/>
        <v>17.772454436058023</v>
      </c>
      <c r="CC62" s="177">
        <f t="shared" si="63"/>
        <v>0.26574256491497122</v>
      </c>
      <c r="CD62" s="5">
        <f t="shared" si="64"/>
        <v>2.7359999999999998</v>
      </c>
      <c r="CE62" s="177">
        <f t="shared" si="65"/>
        <v>0.91147056778918056</v>
      </c>
      <c r="CF62" s="5">
        <f t="shared" si="66"/>
        <v>91.147056778918056</v>
      </c>
      <c r="CG62">
        <f t="shared" si="102"/>
        <v>56.999999999999993</v>
      </c>
      <c r="CI62" s="571">
        <f t="shared" si="98"/>
        <v>-50</v>
      </c>
      <c r="CJ62">
        <f t="shared" si="99"/>
        <v>-50</v>
      </c>
    </row>
    <row r="63" spans="5:88" x14ac:dyDescent="0.25">
      <c r="E63" s="174">
        <v>58</v>
      </c>
      <c r="F63" s="221">
        <f t="shared" si="103"/>
        <v>0.11599999999999999</v>
      </c>
      <c r="G63" s="221">
        <f t="shared" si="100"/>
        <v>5.7999999999999996E-2</v>
      </c>
      <c r="H63" s="221">
        <f t="shared" si="70"/>
        <v>1.8559999999999999</v>
      </c>
      <c r="I63" s="221">
        <f t="shared" si="104"/>
        <v>0.92799999999999994</v>
      </c>
      <c r="J63" s="551">
        <f t="shared" si="1"/>
        <v>32</v>
      </c>
      <c r="K63" s="451">
        <f t="shared" si="2"/>
        <v>19.584</v>
      </c>
      <c r="L63" s="451">
        <f t="shared" si="3"/>
        <v>51.584000000000003</v>
      </c>
      <c r="M63" s="451"/>
      <c r="N63" s="221">
        <f t="shared" si="4"/>
        <v>0.37965260545905705</v>
      </c>
      <c r="O63" s="176">
        <f t="shared" si="101"/>
        <v>5.4669975186104214</v>
      </c>
      <c r="P63" s="176">
        <f t="shared" si="71"/>
        <v>2.7334987593052107</v>
      </c>
      <c r="Q63" s="221">
        <f t="shared" si="6"/>
        <v>0.34168734491315134</v>
      </c>
      <c r="R63" s="221">
        <f t="shared" si="72"/>
        <v>0.34168734491315134</v>
      </c>
      <c r="S63" s="451">
        <f t="shared" si="73"/>
        <v>16</v>
      </c>
      <c r="T63" s="221">
        <f t="shared" si="74"/>
        <v>0.50923747276688458</v>
      </c>
      <c r="U63" s="221">
        <f t="shared" si="10"/>
        <v>0.47741013071895433</v>
      </c>
      <c r="V63" s="221">
        <f t="shared" si="11"/>
        <v>0.78008191293946794</v>
      </c>
      <c r="W63" s="201">
        <f t="shared" si="12"/>
        <v>350</v>
      </c>
      <c r="X63" s="451">
        <f t="shared" si="52"/>
        <v>350</v>
      </c>
      <c r="Z63" s="221">
        <f t="shared" si="13"/>
        <v>1.1570365118752215</v>
      </c>
      <c r="AA63" s="177">
        <f t="shared" si="14"/>
        <v>1.7724211272598367</v>
      </c>
      <c r="AB63" s="177">
        <f t="shared" si="75"/>
        <v>0.2871058342122137</v>
      </c>
      <c r="AC63" s="177"/>
      <c r="AD63" s="177">
        <f t="shared" si="16"/>
        <v>0.4595588235294118</v>
      </c>
      <c r="AE63" s="555">
        <f t="shared" si="76"/>
        <v>2103.4666666666667</v>
      </c>
      <c r="AF63" s="538">
        <f t="shared" si="77"/>
        <v>1.9301470588235291E-2</v>
      </c>
      <c r="AH63" s="177">
        <f t="shared" si="78"/>
        <v>0.72820719186623961</v>
      </c>
      <c r="AI63" s="177">
        <f t="shared" si="79"/>
        <v>0.72820719186623961</v>
      </c>
      <c r="AJ63" s="177">
        <f t="shared" si="80"/>
        <v>1.5171905124935108</v>
      </c>
      <c r="AL63" s="555">
        <f t="shared" si="81"/>
        <v>115.99999999999999</v>
      </c>
      <c r="AM63" s="469">
        <f t="shared" si="82"/>
        <v>350</v>
      </c>
      <c r="AO63">
        <f t="shared" si="53"/>
        <v>115.99999999999999</v>
      </c>
      <c r="AP63">
        <f t="shared" si="24"/>
        <v>350</v>
      </c>
      <c r="AR63" s="5">
        <f t="shared" si="54"/>
        <v>2.8571428571428572</v>
      </c>
      <c r="AS63" s="5">
        <f t="shared" si="25"/>
        <v>0.68269424237459975</v>
      </c>
      <c r="AT63" s="5">
        <f t="shared" si="55"/>
        <v>2.1744486147682576</v>
      </c>
      <c r="AU63" s="177">
        <f t="shared" si="56"/>
        <v>0.2389429848311099</v>
      </c>
      <c r="AW63" s="5">
        <f t="shared" si="83"/>
        <v>0.80504166666666677</v>
      </c>
      <c r="AX63" s="5">
        <f t="shared" si="84"/>
        <v>0.78130562666666648</v>
      </c>
      <c r="AY63" s="5">
        <f t="shared" si="85"/>
        <v>0.20126041666666669</v>
      </c>
      <c r="AZ63" s="5">
        <f t="shared" si="86"/>
        <v>0.60839275757575728</v>
      </c>
      <c r="BA63" s="5">
        <f t="shared" si="87"/>
        <v>0.13137293714224887</v>
      </c>
      <c r="BB63" s="469">
        <f t="shared" si="88"/>
        <v>21.309669942759818</v>
      </c>
      <c r="BC63" s="5"/>
      <c r="BD63" s="177">
        <f t="shared" si="57"/>
        <v>0.20551403146316288</v>
      </c>
      <c r="BE63" s="177">
        <f t="shared" si="89"/>
        <v>0.29342216699756041</v>
      </c>
      <c r="BF63" s="177">
        <f t="shared" si="90"/>
        <v>0.1467110834987802</v>
      </c>
      <c r="BG63" s="177"/>
      <c r="BH63" s="538">
        <f t="shared" si="34"/>
        <v>1.4782605994884665E-2</v>
      </c>
      <c r="BI63" s="538">
        <f t="shared" si="35"/>
        <v>6.573671962414919E-2</v>
      </c>
      <c r="BJ63" s="538">
        <f t="shared" si="36"/>
        <v>4.3749999999999995E-3</v>
      </c>
      <c r="BK63" s="538">
        <f t="shared" si="37"/>
        <v>4.6565908480000008E-2</v>
      </c>
      <c r="BL63">
        <f t="shared" si="38"/>
        <v>9.2800000000000001E-3</v>
      </c>
      <c r="BM63">
        <f t="shared" si="91"/>
        <v>2.3625000000000002E-5</v>
      </c>
      <c r="BN63">
        <f t="shared" si="92"/>
        <v>0.14314993672966733</v>
      </c>
      <c r="BO63" s="469">
        <f t="shared" si="58"/>
        <v>143.14993672966733</v>
      </c>
      <c r="BP63" s="177">
        <f t="shared" si="93"/>
        <v>7.72008890086779E-2</v>
      </c>
      <c r="BQ63" s="177">
        <f t="shared" si="94"/>
        <v>3.0378222252169473E-2</v>
      </c>
      <c r="BR63" s="538"/>
      <c r="BT63" s="469">
        <f t="shared" si="59"/>
        <v>107.57911126084737</v>
      </c>
      <c r="BU63" s="538">
        <f t="shared" si="43"/>
        <v>4.2236017128241907E-3</v>
      </c>
      <c r="BV63" s="538">
        <f t="shared" si="60"/>
        <v>2.5828970425663266E-3</v>
      </c>
      <c r="BW63" s="538">
        <f t="shared" si="95"/>
        <v>1.0762071010693029E-3</v>
      </c>
      <c r="BX63" s="538">
        <f t="shared" si="45"/>
        <v>0</v>
      </c>
      <c r="BY63" s="538">
        <f t="shared" si="96"/>
        <v>8.8342015522200265E-3</v>
      </c>
      <c r="BZ63" s="538">
        <f t="shared" si="61"/>
        <v>7.88270585645982E-3</v>
      </c>
      <c r="CA63" s="641">
        <f t="shared" si="97"/>
        <v>9.2800000000000018E-3</v>
      </c>
      <c r="CB63" s="469">
        <f t="shared" si="62"/>
        <v>18.114201552220031</v>
      </c>
      <c r="CC63" s="177">
        <f t="shared" si="63"/>
        <v>0.26884324954273475</v>
      </c>
      <c r="CD63" s="5">
        <f t="shared" si="64"/>
        <v>2.7839999999999998</v>
      </c>
      <c r="CE63" s="177">
        <f t="shared" si="65"/>
        <v>0.91193676596955864</v>
      </c>
      <c r="CF63" s="5">
        <f t="shared" si="66"/>
        <v>91.193676596955868</v>
      </c>
      <c r="CG63">
        <f t="shared" si="102"/>
        <v>57.999999999999993</v>
      </c>
      <c r="CI63" s="571">
        <f t="shared" si="98"/>
        <v>-50</v>
      </c>
      <c r="CJ63">
        <f t="shared" si="99"/>
        <v>-50</v>
      </c>
    </row>
    <row r="64" spans="5:88" x14ac:dyDescent="0.25">
      <c r="E64" s="174">
        <v>59</v>
      </c>
      <c r="F64" s="221">
        <f t="shared" si="103"/>
        <v>0.11799999999999999</v>
      </c>
      <c r="G64" s="221">
        <f t="shared" si="100"/>
        <v>5.8999999999999997E-2</v>
      </c>
      <c r="H64" s="221">
        <f t="shared" si="70"/>
        <v>1.8879999999999999</v>
      </c>
      <c r="I64" s="221">
        <f t="shared" si="104"/>
        <v>0.94399999999999995</v>
      </c>
      <c r="J64" s="551">
        <f t="shared" si="1"/>
        <v>32</v>
      </c>
      <c r="K64" s="451">
        <f t="shared" si="2"/>
        <v>19.584</v>
      </c>
      <c r="L64" s="451">
        <f t="shared" si="3"/>
        <v>51.584000000000003</v>
      </c>
      <c r="M64" s="451"/>
      <c r="N64" s="221">
        <f t="shared" si="4"/>
        <v>0.37965260545905705</v>
      </c>
      <c r="O64" s="176">
        <f t="shared" si="101"/>
        <v>5.4669975186104214</v>
      </c>
      <c r="P64" s="176">
        <f t="shared" si="71"/>
        <v>2.7334987593052107</v>
      </c>
      <c r="Q64" s="221">
        <f t="shared" si="6"/>
        <v>0.34168734491315134</v>
      </c>
      <c r="R64" s="221">
        <f t="shared" si="72"/>
        <v>0.34168734491315134</v>
      </c>
      <c r="S64" s="451">
        <f t="shared" si="73"/>
        <v>16</v>
      </c>
      <c r="T64" s="221">
        <f t="shared" si="74"/>
        <v>0.51801742919389981</v>
      </c>
      <c r="U64" s="221">
        <f t="shared" si="10"/>
        <v>0.4856413398692811</v>
      </c>
      <c r="V64" s="221">
        <f t="shared" si="11"/>
        <v>0.79353160109359655</v>
      </c>
      <c r="W64" s="201">
        <f t="shared" si="12"/>
        <v>350</v>
      </c>
      <c r="X64" s="451">
        <f t="shared" si="52"/>
        <v>350</v>
      </c>
      <c r="Z64" s="221">
        <f t="shared" si="13"/>
        <v>1.1570365118752215</v>
      </c>
      <c r="AA64" s="177">
        <f t="shared" si="14"/>
        <v>1.7724211272598367</v>
      </c>
      <c r="AB64" s="177">
        <f t="shared" si="75"/>
        <v>0.2871058342122137</v>
      </c>
      <c r="AC64" s="177"/>
      <c r="AD64" s="177">
        <f t="shared" si="16"/>
        <v>0.4595588235294118</v>
      </c>
      <c r="AE64" s="555">
        <f t="shared" si="76"/>
        <v>2139.7333333333336</v>
      </c>
      <c r="AF64" s="538">
        <f t="shared" si="77"/>
        <v>1.9301470588235291E-2</v>
      </c>
      <c r="AH64" s="177">
        <f t="shared" si="78"/>
        <v>0.73445801202558292</v>
      </c>
      <c r="AI64" s="177">
        <f t="shared" si="79"/>
        <v>0.73445801202558292</v>
      </c>
      <c r="AJ64" s="177">
        <f t="shared" si="80"/>
        <v>1.5218207496485798</v>
      </c>
      <c r="AL64" s="555">
        <f t="shared" si="81"/>
        <v>118</v>
      </c>
      <c r="AM64" s="469">
        <f t="shared" si="82"/>
        <v>350</v>
      </c>
      <c r="AO64">
        <f t="shared" si="53"/>
        <v>118</v>
      </c>
      <c r="AP64">
        <f t="shared" si="24"/>
        <v>350</v>
      </c>
      <c r="AR64" s="5">
        <f t="shared" si="54"/>
        <v>2.8571428571428572</v>
      </c>
      <c r="AS64" s="5">
        <f t="shared" si="25"/>
        <v>0.68855438627398402</v>
      </c>
      <c r="AT64" s="5">
        <f t="shared" si="55"/>
        <v>2.1685884708688734</v>
      </c>
      <c r="AU64" s="177">
        <f t="shared" si="56"/>
        <v>0.24099403519589441</v>
      </c>
      <c r="AW64" s="5">
        <f t="shared" si="83"/>
        <v>0.80504166666666677</v>
      </c>
      <c r="AX64" s="5">
        <f t="shared" si="84"/>
        <v>0.80237600666666653</v>
      </c>
      <c r="AY64" s="5">
        <f t="shared" si="85"/>
        <v>0.20126041666666669</v>
      </c>
      <c r="AZ64" s="5">
        <f t="shared" si="86"/>
        <v>0.62751818939393922</v>
      </c>
      <c r="BA64" s="5">
        <f t="shared" si="87"/>
        <v>0.13327783310548283</v>
      </c>
      <c r="BB64" s="469">
        <f t="shared" si="88"/>
        <v>21.619453296877257</v>
      </c>
      <c r="BC64" s="5"/>
      <c r="BD64" s="177">
        <f t="shared" si="57"/>
        <v>0.20816585385098438</v>
      </c>
      <c r="BE64" s="177">
        <f t="shared" si="89"/>
        <v>0.29554180872426361</v>
      </c>
      <c r="BF64" s="177">
        <f t="shared" si="90"/>
        <v>0.14777090436213181</v>
      </c>
      <c r="BG64" s="177"/>
      <c r="BH64" s="538">
        <f t="shared" si="34"/>
        <v>1.5166557948328285E-2</v>
      </c>
      <c r="BI64" s="538">
        <f t="shared" si="35"/>
        <v>6.6300993661573424E-2</v>
      </c>
      <c r="BJ64" s="538">
        <f t="shared" si="36"/>
        <v>4.3749999999999995E-3</v>
      </c>
      <c r="BK64" s="538">
        <f t="shared" si="37"/>
        <v>4.6565908480000008E-2</v>
      </c>
      <c r="BL64">
        <f t="shared" si="38"/>
        <v>9.2800000000000001E-3</v>
      </c>
      <c r="BM64">
        <f t="shared" si="91"/>
        <v>2.3625000000000002E-5</v>
      </c>
      <c r="BN64">
        <f t="shared" si="92"/>
        <v>0.14416297155638591</v>
      </c>
      <c r="BO64" s="469">
        <f t="shared" si="58"/>
        <v>144.16297155638591</v>
      </c>
      <c r="BP64" s="177">
        <f t="shared" si="93"/>
        <v>7.8441774988931526E-2</v>
      </c>
      <c r="BQ64" s="177">
        <f t="shared" si="94"/>
        <v>3.0879443747232883E-2</v>
      </c>
      <c r="BR64" s="538"/>
      <c r="BT64" s="469">
        <f t="shared" si="59"/>
        <v>109.32121873616441</v>
      </c>
      <c r="BU64" s="538">
        <f t="shared" si="43"/>
        <v>4.3333022709509386E-3</v>
      </c>
      <c r="BV64" s="538">
        <f t="shared" si="60"/>
        <v>2.6203488211202766E-3</v>
      </c>
      <c r="BW64" s="538">
        <f t="shared" si="95"/>
        <v>1.0918120088001153E-3</v>
      </c>
      <c r="BX64" s="538">
        <f t="shared" si="45"/>
        <v>0</v>
      </c>
      <c r="BY64" s="538">
        <f t="shared" si="96"/>
        <v>9.0167221694162792E-3</v>
      </c>
      <c r="BZ64" s="538">
        <f t="shared" si="61"/>
        <v>8.0454631008713313E-3</v>
      </c>
      <c r="CA64" s="641">
        <f t="shared" si="97"/>
        <v>9.439999999999997E-3</v>
      </c>
      <c r="CB64" s="469">
        <f t="shared" si="62"/>
        <v>18.456722169416274</v>
      </c>
      <c r="CC64" s="177">
        <f t="shared" si="63"/>
        <v>0.27194091246196661</v>
      </c>
      <c r="CD64" s="5">
        <f t="shared" si="64"/>
        <v>2.8319999999999999</v>
      </c>
      <c r="CE64" s="177">
        <f t="shared" si="65"/>
        <v>0.91238850218760437</v>
      </c>
      <c r="CF64" s="5">
        <f t="shared" si="66"/>
        <v>91.238850218760433</v>
      </c>
      <c r="CG64">
        <f t="shared" si="102"/>
        <v>59</v>
      </c>
      <c r="CI64" s="571">
        <f t="shared" si="98"/>
        <v>-50</v>
      </c>
      <c r="CJ64">
        <f t="shared" si="99"/>
        <v>-50</v>
      </c>
    </row>
    <row r="65" spans="5:88" x14ac:dyDescent="0.25">
      <c r="E65" s="174">
        <v>60</v>
      </c>
      <c r="F65" s="221">
        <f t="shared" si="103"/>
        <v>0.12</v>
      </c>
      <c r="G65" s="221">
        <f t="shared" si="100"/>
        <v>0.06</v>
      </c>
      <c r="H65" s="221">
        <f t="shared" si="70"/>
        <v>1.92</v>
      </c>
      <c r="I65" s="221">
        <f t="shared" si="104"/>
        <v>0.96</v>
      </c>
      <c r="J65" s="551">
        <f t="shared" si="1"/>
        <v>32</v>
      </c>
      <c r="K65" s="451">
        <f t="shared" si="2"/>
        <v>19.584</v>
      </c>
      <c r="L65" s="451">
        <f t="shared" si="3"/>
        <v>51.584000000000003</v>
      </c>
      <c r="M65" s="451"/>
      <c r="N65" s="221">
        <f t="shared" si="4"/>
        <v>0.37965260545905705</v>
      </c>
      <c r="O65" s="176">
        <f t="shared" si="101"/>
        <v>5.4669975186104214</v>
      </c>
      <c r="P65" s="176">
        <f t="shared" si="71"/>
        <v>2.7334987593052107</v>
      </c>
      <c r="Q65" s="221">
        <f t="shared" si="6"/>
        <v>0.34168734491315134</v>
      </c>
      <c r="R65" s="221">
        <f t="shared" si="72"/>
        <v>0.34168734491315134</v>
      </c>
      <c r="S65" s="451">
        <f t="shared" si="73"/>
        <v>16</v>
      </c>
      <c r="T65" s="221">
        <f t="shared" si="74"/>
        <v>0.52679738562091505</v>
      </c>
      <c r="U65" s="221">
        <f t="shared" si="10"/>
        <v>0.49387254901960786</v>
      </c>
      <c r="V65" s="221">
        <f t="shared" si="11"/>
        <v>0.80698128924772528</v>
      </c>
      <c r="W65" s="201">
        <f t="shared" si="12"/>
        <v>350</v>
      </c>
      <c r="X65" s="451">
        <f t="shared" si="52"/>
        <v>350</v>
      </c>
      <c r="Z65" s="221">
        <f t="shared" si="13"/>
        <v>1.1570365118752215</v>
      </c>
      <c r="AA65" s="177">
        <f t="shared" si="14"/>
        <v>1.7724211272598367</v>
      </c>
      <c r="AB65" s="177">
        <f t="shared" si="75"/>
        <v>0.2871058342122137</v>
      </c>
      <c r="AC65" s="177"/>
      <c r="AD65" s="177">
        <f t="shared" si="16"/>
        <v>0.4595588235294118</v>
      </c>
      <c r="AE65" s="555">
        <f t="shared" si="76"/>
        <v>2176.0000000000005</v>
      </c>
      <c r="AF65" s="538">
        <f t="shared" si="77"/>
        <v>1.9301470588235291E-2</v>
      </c>
      <c r="AH65" s="177">
        <f t="shared" si="78"/>
        <v>0.74065607981804116</v>
      </c>
      <c r="AI65" s="177">
        <f t="shared" si="79"/>
        <v>0.74065607981804116</v>
      </c>
      <c r="AJ65" s="177">
        <f t="shared" si="80"/>
        <v>1.5264119109763268</v>
      </c>
      <c r="AL65" s="555">
        <f t="shared" si="81"/>
        <v>120</v>
      </c>
      <c r="AM65" s="469">
        <f t="shared" si="82"/>
        <v>350</v>
      </c>
      <c r="AO65">
        <f t="shared" si="53"/>
        <v>120</v>
      </c>
      <c r="AP65">
        <f t="shared" si="24"/>
        <v>350</v>
      </c>
      <c r="AR65" s="5">
        <f t="shared" si="54"/>
        <v>2.8571428571428572</v>
      </c>
      <c r="AS65" s="5">
        <f t="shared" si="25"/>
        <v>0.69436507482941356</v>
      </c>
      <c r="AT65" s="5">
        <f t="shared" si="55"/>
        <v>2.1627777823134435</v>
      </c>
      <c r="AU65" s="177">
        <f t="shared" si="56"/>
        <v>0.24302777619029475</v>
      </c>
      <c r="AW65" s="5">
        <f t="shared" si="83"/>
        <v>0.80504166666666677</v>
      </c>
      <c r="AX65" s="5">
        <f t="shared" si="84"/>
        <v>0.82370399999999988</v>
      </c>
      <c r="AY65" s="5">
        <f t="shared" si="85"/>
        <v>0.20126041666666669</v>
      </c>
      <c r="AZ65" s="5">
        <f t="shared" si="86"/>
        <v>0.64693636363636353</v>
      </c>
      <c r="BA65" s="5">
        <f t="shared" si="87"/>
        <v>0.13517361139459019</v>
      </c>
      <c r="BB65" s="469">
        <f t="shared" si="88"/>
        <v>21.927777823134434</v>
      </c>
      <c r="BC65" s="5"/>
      <c r="BD65" s="177">
        <f t="shared" si="57"/>
        <v>0.21080646287313506</v>
      </c>
      <c r="BE65" s="177">
        <f t="shared" si="89"/>
        <v>0.29763631828719872</v>
      </c>
      <c r="BF65" s="177">
        <f t="shared" si="90"/>
        <v>0.14881815914359936</v>
      </c>
      <c r="BG65" s="177"/>
      <c r="BH65" s="538">
        <f t="shared" si="34"/>
        <v>1.5553777676178866E-2</v>
      </c>
      <c r="BI65" s="538">
        <f t="shared" si="35"/>
        <v>6.6860505637334228E-2</v>
      </c>
      <c r="BJ65" s="538">
        <f t="shared" si="36"/>
        <v>4.3749999999999995E-3</v>
      </c>
      <c r="BK65" s="538">
        <f t="shared" si="37"/>
        <v>4.6565908480000008E-2</v>
      </c>
      <c r="BL65">
        <f t="shared" si="38"/>
        <v>9.2800000000000001E-3</v>
      </c>
      <c r="BM65">
        <f t="shared" si="91"/>
        <v>2.3625000000000002E-5</v>
      </c>
      <c r="BN65">
        <f t="shared" si="92"/>
        <v>0.14517518193176043</v>
      </c>
      <c r="BO65" s="469">
        <f t="shared" si="58"/>
        <v>145.17518193176042</v>
      </c>
      <c r="BP65" s="177">
        <f t="shared" si="93"/>
        <v>7.9680378382079406E-2</v>
      </c>
      <c r="BQ65" s="177">
        <f t="shared" si="94"/>
        <v>3.1380094595519853E-2</v>
      </c>
      <c r="BR65" s="538"/>
      <c r="BT65" s="469">
        <f t="shared" si="59"/>
        <v>111.06047297759926</v>
      </c>
      <c r="BU65" s="538">
        <f t="shared" si="43"/>
        <v>4.443936478908248E-3</v>
      </c>
      <c r="BV65" s="538">
        <f t="shared" si="60"/>
        <v>2.6576213389067596E-3</v>
      </c>
      <c r="BW65" s="538">
        <f t="shared" si="95"/>
        <v>1.1073422245444834E-3</v>
      </c>
      <c r="BX65" s="538">
        <f t="shared" si="45"/>
        <v>0</v>
      </c>
      <c r="BY65" s="538">
        <f t="shared" si="96"/>
        <v>9.2000098043124173E-3</v>
      </c>
      <c r="BZ65" s="538">
        <f t="shared" si="61"/>
        <v>8.2089000423594908E-3</v>
      </c>
      <c r="CA65" s="641">
        <f t="shared" si="97"/>
        <v>9.6000000000000009E-3</v>
      </c>
      <c r="CB65" s="469">
        <f t="shared" si="62"/>
        <v>18.800009804312417</v>
      </c>
      <c r="CC65" s="177">
        <f t="shared" si="63"/>
        <v>0.27503566471367213</v>
      </c>
      <c r="CD65" s="5">
        <f t="shared" si="64"/>
        <v>2.88</v>
      </c>
      <c r="CE65" s="177">
        <f t="shared" si="65"/>
        <v>0.91282644827451354</v>
      </c>
      <c r="CF65" s="5">
        <f t="shared" si="66"/>
        <v>91.28264482745135</v>
      </c>
      <c r="CG65">
        <f t="shared" si="102"/>
        <v>60</v>
      </c>
      <c r="CI65" s="571">
        <f t="shared" si="98"/>
        <v>-50</v>
      </c>
      <c r="CJ65">
        <f t="shared" si="99"/>
        <v>-50</v>
      </c>
    </row>
    <row r="66" spans="5:88" x14ac:dyDescent="0.25">
      <c r="E66" s="174">
        <v>61</v>
      </c>
      <c r="F66" s="221">
        <f t="shared" si="103"/>
        <v>0.122</v>
      </c>
      <c r="G66" s="221">
        <f t="shared" si="100"/>
        <v>6.0999999999999999E-2</v>
      </c>
      <c r="H66" s="221">
        <f t="shared" si="70"/>
        <v>1.952</v>
      </c>
      <c r="I66" s="221">
        <f t="shared" si="104"/>
        <v>0.97599999999999998</v>
      </c>
      <c r="J66" s="551">
        <f t="shared" si="1"/>
        <v>32</v>
      </c>
      <c r="K66" s="451">
        <f t="shared" si="2"/>
        <v>19.584</v>
      </c>
      <c r="L66" s="451">
        <f t="shared" si="3"/>
        <v>51.584000000000003</v>
      </c>
      <c r="M66" s="451"/>
      <c r="N66" s="221">
        <f t="shared" si="4"/>
        <v>0.37965260545905705</v>
      </c>
      <c r="O66" s="176">
        <f t="shared" si="101"/>
        <v>5.4669975186104214</v>
      </c>
      <c r="P66" s="176">
        <f t="shared" si="71"/>
        <v>2.7334987593052107</v>
      </c>
      <c r="Q66" s="221">
        <f t="shared" si="6"/>
        <v>0.34168734491315134</v>
      </c>
      <c r="R66" s="221">
        <f t="shared" si="72"/>
        <v>0.34168734491315134</v>
      </c>
      <c r="S66" s="451">
        <f t="shared" si="73"/>
        <v>16</v>
      </c>
      <c r="T66" s="221">
        <f t="shared" si="74"/>
        <v>0.53557734204793028</v>
      </c>
      <c r="U66" s="221">
        <f t="shared" si="10"/>
        <v>0.50210375816993458</v>
      </c>
      <c r="V66" s="221">
        <f t="shared" si="11"/>
        <v>0.820430977401854</v>
      </c>
      <c r="W66" s="201">
        <f t="shared" si="12"/>
        <v>350</v>
      </c>
      <c r="X66" s="451">
        <f t="shared" si="52"/>
        <v>350</v>
      </c>
      <c r="Z66" s="221">
        <f t="shared" si="13"/>
        <v>1.1570365118752215</v>
      </c>
      <c r="AA66" s="177">
        <f t="shared" si="14"/>
        <v>1.7724211272598367</v>
      </c>
      <c r="AB66" s="177">
        <f t="shared" si="75"/>
        <v>0.2871058342122137</v>
      </c>
      <c r="AC66" s="177"/>
      <c r="AD66" s="177">
        <f t="shared" si="16"/>
        <v>0.4595588235294118</v>
      </c>
      <c r="AE66" s="555">
        <f t="shared" si="76"/>
        <v>2212.2666666666669</v>
      </c>
      <c r="AF66" s="538">
        <f t="shared" si="77"/>
        <v>1.9301470588235291E-2</v>
      </c>
      <c r="AH66" s="177">
        <f t="shared" si="78"/>
        <v>0.74680270869506471</v>
      </c>
      <c r="AI66" s="177">
        <f t="shared" si="79"/>
        <v>0.74680270869506471</v>
      </c>
      <c r="AJ66" s="177">
        <f t="shared" si="80"/>
        <v>1.5309649694037515</v>
      </c>
      <c r="AL66" s="555">
        <f t="shared" si="81"/>
        <v>122</v>
      </c>
      <c r="AM66" s="469">
        <f t="shared" si="82"/>
        <v>350</v>
      </c>
      <c r="AO66">
        <f t="shared" si="53"/>
        <v>122</v>
      </c>
      <c r="AP66">
        <f t="shared" si="24"/>
        <v>350</v>
      </c>
      <c r="AR66" s="5">
        <f t="shared" si="54"/>
        <v>2.8571428571428572</v>
      </c>
      <c r="AS66" s="5">
        <f t="shared" si="25"/>
        <v>0.70012753940162309</v>
      </c>
      <c r="AT66" s="5">
        <f t="shared" si="55"/>
        <v>2.1570153177412341</v>
      </c>
      <c r="AU66" s="177">
        <f t="shared" si="56"/>
        <v>0.24504463879056806</v>
      </c>
      <c r="AW66" s="5">
        <f t="shared" si="83"/>
        <v>0.80504166666666677</v>
      </c>
      <c r="AX66" s="5">
        <f t="shared" si="84"/>
        <v>0.84528960666666642</v>
      </c>
      <c r="AY66" s="5">
        <f t="shared" si="85"/>
        <v>0.20126041666666669</v>
      </c>
      <c r="AZ66" s="5">
        <f t="shared" si="86"/>
        <v>0.66664728030303022</v>
      </c>
      <c r="BA66" s="5">
        <f t="shared" si="87"/>
        <v>0.13706034831480757</v>
      </c>
      <c r="BB66" s="469">
        <f t="shared" si="88"/>
        <v>22.234655730369209</v>
      </c>
      <c r="BC66" s="5"/>
      <c r="BD66" s="177">
        <f t="shared" si="57"/>
        <v>0.2134360916771082</v>
      </c>
      <c r="BE66" s="177">
        <f t="shared" si="89"/>
        <v>0.29970630602573622</v>
      </c>
      <c r="BF66" s="177">
        <f t="shared" si="90"/>
        <v>0.14985315301286811</v>
      </c>
      <c r="BG66" s="177"/>
      <c r="BH66" s="538">
        <f t="shared" si="34"/>
        <v>1.5944237830639627E-2</v>
      </c>
      <c r="BI66" s="538">
        <f t="shared" si="35"/>
        <v>6.7415374119320901E-2</v>
      </c>
      <c r="BJ66" s="538">
        <f t="shared" si="36"/>
        <v>4.3749999999999995E-3</v>
      </c>
      <c r="BK66" s="538">
        <f t="shared" si="37"/>
        <v>4.6565908480000008E-2</v>
      </c>
      <c r="BL66">
        <f t="shared" si="38"/>
        <v>9.2800000000000001E-3</v>
      </c>
      <c r="BM66">
        <f t="shared" si="91"/>
        <v>2.3625000000000002E-5</v>
      </c>
      <c r="BN66">
        <f t="shared" si="92"/>
        <v>0.14618665656136484</v>
      </c>
      <c r="BO66" s="469">
        <f t="shared" si="58"/>
        <v>146.18665656136483</v>
      </c>
      <c r="BP66" s="177">
        <f t="shared" si="93"/>
        <v>8.0916718290948236E-2</v>
      </c>
      <c r="BQ66" s="177">
        <f t="shared" si="94"/>
        <v>3.1880179572737061E-2</v>
      </c>
      <c r="BR66" s="538"/>
      <c r="BT66" s="469">
        <f t="shared" si="59"/>
        <v>112.7968978636853</v>
      </c>
      <c r="BU66" s="538">
        <f t="shared" si="43"/>
        <v>4.5554965230398935E-3</v>
      </c>
      <c r="BV66" s="538">
        <f t="shared" si="60"/>
        <v>2.6947160961477675E-3</v>
      </c>
      <c r="BW66" s="538">
        <f t="shared" si="95"/>
        <v>1.1227983733949033E-3</v>
      </c>
      <c r="BX66" s="538">
        <f t="shared" si="45"/>
        <v>0</v>
      </c>
      <c r="BY66" s="538">
        <f t="shared" si="96"/>
        <v>9.3840581374476633E-3</v>
      </c>
      <c r="BZ66" s="538">
        <f t="shared" si="61"/>
        <v>8.3730109925825649E-3</v>
      </c>
      <c r="CA66" s="641">
        <f t="shared" si="97"/>
        <v>9.7600000000000013E-3</v>
      </c>
      <c r="CB66" s="469">
        <f t="shared" si="62"/>
        <v>19.144058137447661</v>
      </c>
      <c r="CC66" s="177">
        <f t="shared" si="63"/>
        <v>0.27812761256249779</v>
      </c>
      <c r="CD66" s="5">
        <f t="shared" si="64"/>
        <v>2.9279999999999999</v>
      </c>
      <c r="CE66" s="177">
        <f t="shared" si="65"/>
        <v>0.91325123445719492</v>
      </c>
      <c r="CF66" s="5">
        <f t="shared" si="66"/>
        <v>91.325123445719498</v>
      </c>
      <c r="CG66">
        <f t="shared" si="102"/>
        <v>61</v>
      </c>
      <c r="CI66" s="571">
        <f t="shared" si="98"/>
        <v>-50</v>
      </c>
      <c r="CJ66">
        <f t="shared" si="99"/>
        <v>-50</v>
      </c>
    </row>
    <row r="67" spans="5:88" x14ac:dyDescent="0.25">
      <c r="E67" s="174">
        <v>62</v>
      </c>
      <c r="F67" s="221">
        <f t="shared" si="103"/>
        <v>0.124</v>
      </c>
      <c r="G67" s="221">
        <f t="shared" si="100"/>
        <v>6.2E-2</v>
      </c>
      <c r="H67" s="221">
        <f t="shared" si="70"/>
        <v>1.984</v>
      </c>
      <c r="I67" s="221">
        <f t="shared" si="104"/>
        <v>0.99199999999999999</v>
      </c>
      <c r="J67" s="551">
        <f t="shared" si="1"/>
        <v>32</v>
      </c>
      <c r="K67" s="451">
        <f t="shared" si="2"/>
        <v>19.584</v>
      </c>
      <c r="L67" s="451">
        <f t="shared" si="3"/>
        <v>51.584000000000003</v>
      </c>
      <c r="M67" s="451"/>
      <c r="N67" s="221">
        <f t="shared" si="4"/>
        <v>0.37965260545905705</v>
      </c>
      <c r="O67" s="176">
        <f t="shared" si="101"/>
        <v>5.4669975186104214</v>
      </c>
      <c r="P67" s="176">
        <f t="shared" si="71"/>
        <v>2.7334987593052107</v>
      </c>
      <c r="Q67" s="221">
        <f t="shared" si="6"/>
        <v>0.34168734491315134</v>
      </c>
      <c r="R67" s="221">
        <f t="shared" si="72"/>
        <v>0.34168734491315134</v>
      </c>
      <c r="S67" s="451">
        <f t="shared" si="73"/>
        <v>16</v>
      </c>
      <c r="T67" s="221">
        <f t="shared" si="74"/>
        <v>0.54435729847494563</v>
      </c>
      <c r="U67" s="221">
        <f t="shared" si="10"/>
        <v>0.51033496732026162</v>
      </c>
      <c r="V67" s="221">
        <f t="shared" si="11"/>
        <v>0.83388066555598306</v>
      </c>
      <c r="W67" s="201">
        <f t="shared" si="12"/>
        <v>350</v>
      </c>
      <c r="X67" s="451">
        <f t="shared" si="52"/>
        <v>350</v>
      </c>
      <c r="Z67" s="221">
        <f t="shared" si="13"/>
        <v>1.1570365118752215</v>
      </c>
      <c r="AA67" s="177">
        <f t="shared" si="14"/>
        <v>1.7724211272598367</v>
      </c>
      <c r="AB67" s="177">
        <f t="shared" si="75"/>
        <v>0.2871058342122137</v>
      </c>
      <c r="AC67" s="177"/>
      <c r="AD67" s="177">
        <f t="shared" si="16"/>
        <v>0.4595588235294118</v>
      </c>
      <c r="AE67" s="555">
        <f t="shared" si="76"/>
        <v>2248.5333333333338</v>
      </c>
      <c r="AF67" s="538">
        <f t="shared" si="77"/>
        <v>1.9301470588235291E-2</v>
      </c>
      <c r="AH67" s="177">
        <f t="shared" si="78"/>
        <v>0.75289915849145617</v>
      </c>
      <c r="AI67" s="177">
        <f t="shared" si="79"/>
        <v>0.75289915849145617</v>
      </c>
      <c r="AJ67" s="177">
        <f t="shared" si="80"/>
        <v>1.5354808581418193</v>
      </c>
      <c r="AL67" s="555">
        <f t="shared" si="81"/>
        <v>124</v>
      </c>
      <c r="AM67" s="469">
        <f t="shared" si="82"/>
        <v>350</v>
      </c>
      <c r="AO67">
        <f t="shared" si="53"/>
        <v>124</v>
      </c>
      <c r="AP67">
        <f t="shared" si="24"/>
        <v>350</v>
      </c>
      <c r="AR67" s="5">
        <f t="shared" si="54"/>
        <v>2.8571428571428572</v>
      </c>
      <c r="AS67" s="5">
        <f t="shared" si="25"/>
        <v>0.70584296108574018</v>
      </c>
      <c r="AT67" s="5">
        <f t="shared" si="55"/>
        <v>2.1512998960571172</v>
      </c>
      <c r="AU67" s="177">
        <f t="shared" si="56"/>
        <v>0.24704503638000905</v>
      </c>
      <c r="AW67" s="5">
        <f t="shared" si="83"/>
        <v>0.80504166666666677</v>
      </c>
      <c r="AX67" s="5">
        <f t="shared" si="84"/>
        <v>0.86713282666666647</v>
      </c>
      <c r="AY67" s="5">
        <f t="shared" si="85"/>
        <v>0.20126041666666669</v>
      </c>
      <c r="AZ67" s="5">
        <f t="shared" si="86"/>
        <v>0.68665093939393917</v>
      </c>
      <c r="BA67" s="5">
        <f t="shared" si="87"/>
        <v>0.13893811828702216</v>
      </c>
      <c r="BB67" s="469">
        <f t="shared" si="88"/>
        <v>22.540098925923544</v>
      </c>
      <c r="BC67" s="5"/>
      <c r="BD67" s="177">
        <f t="shared" si="57"/>
        <v>0.2160549648271714</v>
      </c>
      <c r="BE67" s="177">
        <f t="shared" si="89"/>
        <v>0.30175235740683581</v>
      </c>
      <c r="BF67" s="177">
        <f t="shared" si="90"/>
        <v>0.15087617870341791</v>
      </c>
      <c r="BG67" s="177"/>
      <c r="BH67" s="538">
        <f t="shared" si="34"/>
        <v>1.6337911739264594E-2</v>
      </c>
      <c r="BI67" s="538">
        <f t="shared" si="35"/>
        <v>6.7965712835340739E-2</v>
      </c>
      <c r="BJ67" s="538">
        <f t="shared" si="36"/>
        <v>4.3749999999999995E-3</v>
      </c>
      <c r="BK67" s="538">
        <f t="shared" si="37"/>
        <v>4.6565908480000008E-2</v>
      </c>
      <c r="BL67">
        <f t="shared" si="38"/>
        <v>9.2800000000000001E-3</v>
      </c>
      <c r="BM67">
        <f t="shared" si="91"/>
        <v>2.3625000000000002E-5</v>
      </c>
      <c r="BN67">
        <f t="shared" si="92"/>
        <v>0.14719748008569536</v>
      </c>
      <c r="BO67" s="469">
        <f t="shared" si="58"/>
        <v>147.19748008569536</v>
      </c>
      <c r="BP67" s="177">
        <f t="shared" si="93"/>
        <v>8.2150813346622636E-2</v>
      </c>
      <c r="BQ67" s="177">
        <f t="shared" si="94"/>
        <v>3.2379703336655657E-2</v>
      </c>
      <c r="BR67" s="538"/>
      <c r="BT67" s="469">
        <f t="shared" si="59"/>
        <v>114.53051668327829</v>
      </c>
      <c r="BU67" s="538">
        <f t="shared" si="43"/>
        <v>4.667974782647028E-3</v>
      </c>
      <c r="BV67" s="538">
        <f t="shared" si="60"/>
        <v>2.7316345560174831E-3</v>
      </c>
      <c r="BW67" s="538">
        <f t="shared" si="95"/>
        <v>1.1381810650072848E-3</v>
      </c>
      <c r="BX67" s="538">
        <f t="shared" si="45"/>
        <v>0</v>
      </c>
      <c r="BY67" s="538">
        <f t="shared" si="96"/>
        <v>9.5688610064864326E-3</v>
      </c>
      <c r="BZ67" s="538">
        <f t="shared" si="61"/>
        <v>8.5377904036717956E-3</v>
      </c>
      <c r="CA67" s="641">
        <f t="shared" si="97"/>
        <v>9.92E-3</v>
      </c>
      <c r="CB67" s="469">
        <f t="shared" si="62"/>
        <v>19.488861006486431</v>
      </c>
      <c r="CC67" s="177">
        <f t="shared" si="63"/>
        <v>0.28121685777546002</v>
      </c>
      <c r="CD67" s="5">
        <f t="shared" si="64"/>
        <v>2.976</v>
      </c>
      <c r="CE67" s="177">
        <f t="shared" si="65"/>
        <v>0.91366345255638914</v>
      </c>
      <c r="CF67" s="5">
        <f t="shared" si="66"/>
        <v>91.366345255638919</v>
      </c>
      <c r="CG67">
        <f t="shared" si="102"/>
        <v>62</v>
      </c>
      <c r="CI67" s="571">
        <f t="shared" si="98"/>
        <v>-50</v>
      </c>
      <c r="CJ67">
        <f t="shared" si="99"/>
        <v>-50</v>
      </c>
    </row>
    <row r="68" spans="5:88" x14ac:dyDescent="0.25">
      <c r="E68" s="174">
        <v>63</v>
      </c>
      <c r="F68" s="221">
        <f t="shared" si="103"/>
        <v>0.126</v>
      </c>
      <c r="G68" s="221">
        <f t="shared" si="100"/>
        <v>6.3E-2</v>
      </c>
      <c r="H68" s="221">
        <f t="shared" si="70"/>
        <v>2.016</v>
      </c>
      <c r="I68" s="221">
        <f t="shared" si="104"/>
        <v>1.008</v>
      </c>
      <c r="J68" s="551">
        <f t="shared" si="1"/>
        <v>32</v>
      </c>
      <c r="K68" s="451">
        <f t="shared" si="2"/>
        <v>19.584</v>
      </c>
      <c r="L68" s="451">
        <f t="shared" si="3"/>
        <v>51.584000000000003</v>
      </c>
      <c r="M68" s="451"/>
      <c r="N68" s="221">
        <f t="shared" si="4"/>
        <v>0.37965260545905705</v>
      </c>
      <c r="O68" s="176">
        <f t="shared" si="101"/>
        <v>5.4669975186104214</v>
      </c>
      <c r="P68" s="176">
        <f t="shared" si="71"/>
        <v>2.7334987593052107</v>
      </c>
      <c r="Q68" s="221">
        <f t="shared" si="6"/>
        <v>0.34168734491315134</v>
      </c>
      <c r="R68" s="221">
        <f t="shared" si="72"/>
        <v>0.34168734491315134</v>
      </c>
      <c r="S68" s="451">
        <f t="shared" si="73"/>
        <v>16</v>
      </c>
      <c r="T68" s="221">
        <f t="shared" si="74"/>
        <v>0.55313725490196086</v>
      </c>
      <c r="U68" s="221">
        <f t="shared" si="10"/>
        <v>0.51856617647058834</v>
      </c>
      <c r="V68" s="221">
        <f t="shared" si="11"/>
        <v>0.84733035371011167</v>
      </c>
      <c r="W68" s="201">
        <f t="shared" si="12"/>
        <v>350</v>
      </c>
      <c r="X68" s="451">
        <f t="shared" si="52"/>
        <v>350</v>
      </c>
      <c r="Z68" s="221">
        <f t="shared" si="13"/>
        <v>1.1570365118752215</v>
      </c>
      <c r="AA68" s="177">
        <f t="shared" si="14"/>
        <v>1.7724211272598367</v>
      </c>
      <c r="AB68" s="177">
        <f t="shared" si="75"/>
        <v>0.2871058342122137</v>
      </c>
      <c r="AC68" s="177"/>
      <c r="AD68" s="177">
        <f t="shared" si="16"/>
        <v>0.4595588235294118</v>
      </c>
      <c r="AE68" s="555">
        <f t="shared" si="76"/>
        <v>2284.8000000000006</v>
      </c>
      <c r="AF68" s="538">
        <f t="shared" si="77"/>
        <v>1.9301470588235291E-2</v>
      </c>
      <c r="AH68" s="177">
        <f t="shared" si="78"/>
        <v>0.75894663844041099</v>
      </c>
      <c r="AI68" s="177">
        <f t="shared" si="79"/>
        <v>0.75894663844041099</v>
      </c>
      <c r="AJ68" s="177">
        <f t="shared" si="80"/>
        <v>1.539960472918823</v>
      </c>
      <c r="AL68" s="555">
        <f t="shared" si="81"/>
        <v>126</v>
      </c>
      <c r="AM68" s="469">
        <f t="shared" si="82"/>
        <v>350</v>
      </c>
      <c r="AO68">
        <f t="shared" si="53"/>
        <v>126</v>
      </c>
      <c r="AP68">
        <f t="shared" si="24"/>
        <v>350</v>
      </c>
      <c r="AR68" s="5">
        <f t="shared" si="54"/>
        <v>2.8571428571428572</v>
      </c>
      <c r="AS68" s="5">
        <f t="shared" si="25"/>
        <v>0.71151247353788527</v>
      </c>
      <c r="AT68" s="5">
        <f t="shared" si="55"/>
        <v>2.1456303836049719</v>
      </c>
      <c r="AU68" s="177">
        <f t="shared" si="56"/>
        <v>0.24902936573825984</v>
      </c>
      <c r="AW68" s="5">
        <f t="shared" si="83"/>
        <v>0.80504166666666677</v>
      </c>
      <c r="AX68" s="5">
        <f t="shared" si="84"/>
        <v>0.88923365999999993</v>
      </c>
      <c r="AY68" s="5">
        <f t="shared" si="85"/>
        <v>0.20126041666666669</v>
      </c>
      <c r="AZ68" s="5">
        <f t="shared" si="86"/>
        <v>0.70694734090909073</v>
      </c>
      <c r="BA68" s="5">
        <f t="shared" si="87"/>
        <v>0.14080699392407628</v>
      </c>
      <c r="BB68" s="469">
        <f t="shared" si="88"/>
        <v>22.844119027852201</v>
      </c>
      <c r="BC68" s="5"/>
      <c r="BD68" s="177">
        <f t="shared" si="57"/>
        <v>0.21866329875346224</v>
      </c>
      <c r="BE68" s="177">
        <f t="shared" si="89"/>
        <v>0.30377503442199227</v>
      </c>
      <c r="BF68" s="177">
        <f t="shared" si="90"/>
        <v>0.15188751721099614</v>
      </c>
      <c r="BG68" s="177"/>
      <c r="BH68" s="538">
        <f t="shared" si="34"/>
        <v>1.6734773377611058E-2</v>
      </c>
      <c r="BI68" s="538">
        <f t="shared" si="35"/>
        <v>6.8511630945292792E-2</v>
      </c>
      <c r="BJ68" s="538">
        <f t="shared" si="36"/>
        <v>4.3749999999999995E-3</v>
      </c>
      <c r="BK68" s="538">
        <f t="shared" si="37"/>
        <v>4.6565908480000008E-2</v>
      </c>
      <c r="BL68">
        <f t="shared" si="38"/>
        <v>9.2800000000000001E-3</v>
      </c>
      <c r="BM68">
        <f t="shared" si="91"/>
        <v>2.3625000000000002E-5</v>
      </c>
      <c r="BN68">
        <f t="shared" si="92"/>
        <v>0.14820773332100465</v>
      </c>
      <c r="BO68" s="469">
        <f t="shared" si="58"/>
        <v>148.20773332100464</v>
      </c>
      <c r="BP68" s="177">
        <f t="shared" si="93"/>
        <v>8.338268172754755E-2</v>
      </c>
      <c r="BQ68" s="177">
        <f t="shared" si="94"/>
        <v>3.2878670431886886E-2</v>
      </c>
      <c r="BR68" s="538"/>
      <c r="BT68" s="469">
        <f t="shared" si="59"/>
        <v>116.26135215943444</v>
      </c>
      <c r="BU68" s="538">
        <f t="shared" si="43"/>
        <v>4.7813638221745891E-3</v>
      </c>
      <c r="BV68" s="538">
        <f t="shared" si="60"/>
        <v>2.7683781461424776E-3</v>
      </c>
      <c r="BW68" s="538">
        <f t="shared" si="95"/>
        <v>1.1534908942260325E-3</v>
      </c>
      <c r="BX68" s="538">
        <f t="shared" si="45"/>
        <v>0</v>
      </c>
      <c r="BY68" s="538">
        <f t="shared" si="96"/>
        <v>9.7544123998525283E-3</v>
      </c>
      <c r="BZ68" s="538">
        <f t="shared" si="61"/>
        <v>8.7032328625430994E-3</v>
      </c>
      <c r="CA68" s="641">
        <f t="shared" si="97"/>
        <v>1.008E-2</v>
      </c>
      <c r="CB68" s="469">
        <f t="shared" si="62"/>
        <v>19.834412399852528</v>
      </c>
      <c r="CC68" s="177">
        <f t="shared" si="63"/>
        <v>0.28430349788029163</v>
      </c>
      <c r="CD68" s="5">
        <f t="shared" si="64"/>
        <v>3.024</v>
      </c>
      <c r="CE68" s="177">
        <f t="shared" si="65"/>
        <v>0.91406365889270691</v>
      </c>
      <c r="CF68" s="5">
        <f t="shared" si="66"/>
        <v>91.406365889270688</v>
      </c>
      <c r="CG68">
        <f t="shared" si="102"/>
        <v>63</v>
      </c>
      <c r="CI68" s="571">
        <f t="shared" si="98"/>
        <v>-50</v>
      </c>
      <c r="CJ68">
        <f t="shared" si="99"/>
        <v>-50</v>
      </c>
    </row>
    <row r="69" spans="5:88" x14ac:dyDescent="0.25">
      <c r="E69" s="174">
        <v>64</v>
      </c>
      <c r="F69" s="221">
        <f t="shared" si="103"/>
        <v>0.128</v>
      </c>
      <c r="G69" s="221">
        <f t="shared" si="100"/>
        <v>6.4000000000000001E-2</v>
      </c>
      <c r="H69" s="221">
        <f t="shared" ref="H69:H105" si="105">F69*Vout</f>
        <v>2.048</v>
      </c>
      <c r="I69" s="221">
        <f t="shared" si="104"/>
        <v>1.024</v>
      </c>
      <c r="J69" s="551">
        <f t="shared" ref="J69:J105" si="106">Vin</f>
        <v>32</v>
      </c>
      <c r="K69" s="451">
        <f t="shared" ref="K69:K105" si="107">(S69+Vfwd1)*Nps</f>
        <v>19.584</v>
      </c>
      <c r="L69" s="451">
        <f t="shared" ref="L69:L105" si="108">(Vout+Vfwd1)*Nps+J69</f>
        <v>51.584000000000003</v>
      </c>
      <c r="M69" s="451"/>
      <c r="N69" s="221">
        <f t="shared" ref="N69:N105" si="109">(Vout+Vfwd1)*Nps/((Vout+Vfwd1)*Nps+J69)</f>
        <v>0.37965260545905705</v>
      </c>
      <c r="O69" s="176">
        <f t="shared" si="101"/>
        <v>5.4669975186104214</v>
      </c>
      <c r="P69" s="176">
        <f t="shared" ref="P69:P105" si="110">N69*J69*Isw_max*0.5*Efficiency*(Pout2/Pout_total)</f>
        <v>2.7334987593052107</v>
      </c>
      <c r="Q69" s="221">
        <f t="shared" ref="Q69:Q105" si="111">O69/Vout</f>
        <v>0.34168734491315134</v>
      </c>
      <c r="R69" s="221">
        <f t="shared" ref="R69:R105" si="112">O69/Vout2</f>
        <v>0.34168734491315134</v>
      </c>
      <c r="S69" s="451">
        <f t="shared" ref="S69:S105" si="113">MIN(Vout,O69/F69)</f>
        <v>16</v>
      </c>
      <c r="T69" s="221">
        <f t="shared" ref="T69:T105" si="114">MIN(2*(Vout*F69+Vout2*G69)/(Efficiency*J69*N69), Isw_max)</f>
        <v>0.5619172113289761</v>
      </c>
      <c r="U69" s="221">
        <f t="shared" ref="U69:U105" si="115">L*T69/J69*1000000</f>
        <v>0.52679738562091505</v>
      </c>
      <c r="V69" s="221">
        <f t="shared" ref="V69:V105" si="116">L*T69/K69*1000000</f>
        <v>0.86078004186424029</v>
      </c>
      <c r="W69" s="201">
        <f t="shared" ref="W69:W105" si="117">IF(1/((350000*L)*(1/J69+1/K69))&gt;Isw_min, 350, 0.001/((Isw_min*L)*(1/J69+1/K69)))</f>
        <v>350</v>
      </c>
      <c r="X69" s="451">
        <f t="shared" si="52"/>
        <v>350</v>
      </c>
      <c r="Z69" s="221">
        <f t="shared" ref="Z69:Z105" si="118">1/((W69*1000*L)*(1/J69+1/K69))</f>
        <v>1.1570365118752215</v>
      </c>
      <c r="AA69" s="177">
        <f t="shared" ref="AA69:AA105" si="119">L*Z69/K69*1000000</f>
        <v>1.7724211272598367</v>
      </c>
      <c r="AB69" s="177">
        <f t="shared" ref="AB69:AB100" si="120">0.5*AA69*Z69*Nps*W69/1000*(Pout/Pout_total)</f>
        <v>0.2871058342122137</v>
      </c>
      <c r="AC69" s="177"/>
      <c r="AD69" s="177">
        <f t="shared" ref="AD69:AD105" si="121">L*Isw_min/K69*1000000</f>
        <v>0.4595588235294118</v>
      </c>
      <c r="AE69" s="555">
        <f t="shared" ref="AE69:AE100" si="122">MAX(10, F69/(0.5*AD69/1000000*Isw_min*Nps)/1000*Pout_total/Pout)</f>
        <v>2321.0666666666671</v>
      </c>
      <c r="AF69" s="538">
        <f t="shared" ref="AF69:AF105" si="123">0.5*AD69/1000000*Isw_min*Nps*W69*1000*(Pout/Pout_total)</f>
        <v>1.9301470588235291E-2</v>
      </c>
      <c r="AH69" s="177">
        <f t="shared" ref="AH69:AH105" si="124">SQRT((H69+I69)/(0.5*L*Fsw_DCM))</f>
        <v>0.76494630997401192</v>
      </c>
      <c r="AI69" s="177">
        <f t="shared" ref="AI69:AI100" si="125">MAX(IF(F69&gt;AB69,T69,AH69),Isw_min)</f>
        <v>0.76494630997401192</v>
      </c>
      <c r="AJ69" s="177">
        <f t="shared" ref="AJ69:AJ100" si="126">IF(F69&gt;AF69, (AI69-Isw_min)/1.08*0.8+1.2, AE69*0.2/350+1)</f>
        <v>1.5444046740548236</v>
      </c>
      <c r="AL69" s="555">
        <f t="shared" ref="AL69:AL105" si="127">F69*1000</f>
        <v>128</v>
      </c>
      <c r="AM69" s="469">
        <f t="shared" ref="AM69:AM105" si="128">IF(F69&gt;AF69, X69, AE69)</f>
        <v>350</v>
      </c>
      <c r="AO69">
        <f t="shared" si="53"/>
        <v>128</v>
      </c>
      <c r="AP69">
        <f t="shared" ref="AP69:AP105" si="129">IF(H69&gt;O69, "",AM69)</f>
        <v>350</v>
      </c>
      <c r="AR69" s="5">
        <f t="shared" si="54"/>
        <v>2.8571428571428572</v>
      </c>
      <c r="AS69" s="5">
        <f t="shared" ref="AS69:AS105" si="130">L*AI69/J69*1000000</f>
        <v>0.71713716560063612</v>
      </c>
      <c r="AT69" s="5">
        <f t="shared" si="55"/>
        <v>2.1400056915422212</v>
      </c>
      <c r="AU69" s="177">
        <f t="shared" si="56"/>
        <v>0.25099800796022265</v>
      </c>
      <c r="AW69" s="5">
        <f t="shared" ref="AW69:AW105" si="131">L*Iout^2/(2*Vripple1_spec*Vout*Npri_sec1^2)*1000000000*((1+N69)/(1-N69))^2</f>
        <v>0.80504166666666677</v>
      </c>
      <c r="AX69" s="5">
        <f t="shared" ref="AX69:AX105" si="132">L*F69^2/(2*Cout*Vout*Nps^2)*1000000000*((1+N69)/(1-N69))^2+F69*RCoutEsr</f>
        <v>0.91159210666666646</v>
      </c>
      <c r="AY69" s="5">
        <f t="shared" ref="AY69:AY105" si="133">L*Iout2^2/(2*Vripple2_spec*Vout2*Npri_sec2^2)*1000000000*((1+N69)/(1-N69))^2</f>
        <v>0.20126041666666669</v>
      </c>
      <c r="AZ69" s="5">
        <f t="shared" ref="AZ69:AZ105" si="134">L*G69^2/(2*Cout2*Vout2*Npri_sec2^2)*1000000000*((1+N69)/(1-N69))^2+G69*CoutEsr2</f>
        <v>0.72753648484848465</v>
      </c>
      <c r="BA69" s="5">
        <f t="shared" ref="BA69:BA105" si="135">(H69+I69)/Efficiency/J69*AT69/Vinripple1</f>
        <v>0.14266704610281475</v>
      </c>
      <c r="BB69" s="469">
        <f t="shared" ref="BB69:BB105" si="136">((CD69/J69/Efficiency)*AT69/Cin+(CD69/J69/Efficiency)*RCinEsr)*1000</f>
        <v>23.146727376450361</v>
      </c>
      <c r="BC69" s="5"/>
      <c r="BD69" s="177">
        <f t="shared" si="57"/>
        <v>0.22126130217084228</v>
      </c>
      <c r="BE69" s="177">
        <f t="shared" ref="BE69:BE105" si="137">AI69*Npri_sec1*SQRT((1-AU69)/3)*(Pout/Pout_total)</f>
        <v>0.30577487688484262</v>
      </c>
      <c r="BF69" s="177">
        <f t="shared" ref="BF69:BF105" si="138">AI69*Npri_sec2*SQRT((1-AU69)/3)*(Pout2/Pout_total)</f>
        <v>0.15288743844242131</v>
      </c>
      <c r="BG69" s="177"/>
      <c r="BH69" s="538">
        <f t="shared" ref="BH69:BH105" si="139">Rdson*BD69^2</f>
        <v>1.7134797343417871E-2</v>
      </c>
      <c r="BI69" s="538">
        <f t="shared" ref="BI69:BI105" si="140">0.5*L69*AI69*AM69*1000*Trise</f>
        <v>6.9053233293974003E-2</v>
      </c>
      <c r="BJ69" s="538">
        <f t="shared" ref="BJ69:BJ105" si="141">Qg*Vdd*AM69*1000</f>
        <v>4.3749999999999995E-3</v>
      </c>
      <c r="BK69" s="538">
        <f t="shared" ref="BK69:BK105" si="142">0.5*(Coss+Csw)*L69^2*AM69*1000</f>
        <v>4.6565908480000008E-2</v>
      </c>
      <c r="BL69">
        <f t="shared" ref="BL69:BL105" si="143">J69*IQ</f>
        <v>9.2800000000000001E-3</v>
      </c>
      <c r="BM69">
        <f t="shared" ref="BM69:BM105" si="144">(J69-Vdd)*Qg*AM69</f>
        <v>2.3625000000000002E-5</v>
      </c>
      <c r="BN69">
        <f t="shared" ref="BN69:BN100" si="145">(BI69+BJ69+BK69+BL69+BM69+BH69*(1+RdsonTC*(Ta-25)))/(1-BH69*RdsonTC*ThetaJA)</f>
        <v>0.14921749348251725</v>
      </c>
      <c r="BO69" s="469">
        <f t="shared" si="58"/>
        <v>149.21749348251726</v>
      </c>
      <c r="BP69" s="177">
        <f t="shared" ref="BP69:BP105" si="146">(Vfwd2*F69+BE69^2*Rdiode)*(1+Diode_TC/1000*(Ta-25))</f>
        <v>8.4612341177565345E-2</v>
      </c>
      <c r="BQ69" s="177">
        <f t="shared" ref="BQ69:BQ105" si="147">(Vfwd2*G69+BF69^2*Rdiode)*(1+Diode_TC/1000*(Ta-25))</f>
        <v>3.3377085294391332E-2</v>
      </c>
      <c r="BR69" s="538"/>
      <c r="BT69" s="469">
        <f t="shared" si="59"/>
        <v>117.98942647195668</v>
      </c>
      <c r="BU69" s="538">
        <f t="shared" ref="BU69:BU105" si="148">Rdcr_pri*BD69^2</f>
        <v>4.8956563838336783E-3</v>
      </c>
      <c r="BV69" s="538">
        <f t="shared" ref="BV69:BV105" si="149">Rdcr_sec*BE69^2</f>
        <v>2.8049482600182194E-3</v>
      </c>
      <c r="BW69" s="538">
        <f t="shared" ref="BW69:BW105" si="150">Rdcr_sec2*BF69^2</f>
        <v>1.1687284416742583E-3</v>
      </c>
      <c r="BX69" s="538">
        <f t="shared" ref="BX69:BX105" si="151">AI69^2.5*AM69^2.5*k_core</f>
        <v>0</v>
      </c>
      <c r="BY69" s="538">
        <f t="shared" ref="BY69:BY100" si="152">(BX69+(BU69+BV69+BW69)*(1+Ltc*(Ta-25)))/(1-(BU69+BV69+BW69)*Ltc*ThetaCa)</f>
        <v>9.9407064507186452E-3</v>
      </c>
      <c r="BZ69" s="538">
        <f t="shared" si="61"/>
        <v>8.8693330855261557E-3</v>
      </c>
      <c r="CA69" s="641">
        <f t="shared" ref="CA69:CA105" si="153">0.5*Lleak*0.000000001*AI69^2*AM69*1000</f>
        <v>1.0240000000000001E-2</v>
      </c>
      <c r="CB69" s="469">
        <f t="shared" si="62"/>
        <v>20.180706450718645</v>
      </c>
      <c r="CC69" s="177">
        <f t="shared" si="63"/>
        <v>0.28738762640519261</v>
      </c>
      <c r="CD69" s="5">
        <f t="shared" si="64"/>
        <v>3.0720000000000001</v>
      </c>
      <c r="CE69" s="177">
        <f t="shared" si="65"/>
        <v>0.91445237693135173</v>
      </c>
      <c r="CF69" s="5">
        <f t="shared" si="66"/>
        <v>91.445237693135169</v>
      </c>
      <c r="CG69">
        <f t="shared" si="102"/>
        <v>64</v>
      </c>
      <c r="CI69" s="571">
        <f t="shared" ref="CI69:CI105" si="154">IF(ABS(F69-Ioutmax_Vinnom)&lt;Iout/200, AM69, -50)</f>
        <v>-50</v>
      </c>
      <c r="CJ69">
        <f t="shared" ref="CJ69:CJ105" si="155">IF(ABS(F69-Ioutmax_Vinnom)&lt;Iout/200, (O69+P69)*CE69, -50)</f>
        <v>-50</v>
      </c>
    </row>
    <row r="70" spans="5:88" x14ac:dyDescent="0.25">
      <c r="E70" s="174">
        <v>65</v>
      </c>
      <c r="F70" s="221">
        <f t="shared" si="103"/>
        <v>0.13</v>
      </c>
      <c r="G70" s="221">
        <f t="shared" ref="G70:G105" si="156">IF(PLOT_TYPE=1, E70/100*Iout2, min_I*EXP(Q70*rr/100))</f>
        <v>6.5000000000000002E-2</v>
      </c>
      <c r="H70" s="221">
        <f t="shared" si="105"/>
        <v>2.08</v>
      </c>
      <c r="I70" s="221">
        <f t="shared" si="104"/>
        <v>1.04</v>
      </c>
      <c r="J70" s="551">
        <f t="shared" si="106"/>
        <v>32</v>
      </c>
      <c r="K70" s="451">
        <f t="shared" si="107"/>
        <v>19.584</v>
      </c>
      <c r="L70" s="451">
        <f t="shared" si="108"/>
        <v>51.584000000000003</v>
      </c>
      <c r="M70" s="451"/>
      <c r="N70" s="221">
        <f t="shared" si="109"/>
        <v>0.37965260545905705</v>
      </c>
      <c r="O70" s="176">
        <f t="shared" ref="O70:O101" si="157">N70*J70*Isw_max*0.5*Efficiency*Pout/(Pout+Pout2)</f>
        <v>5.4669975186104214</v>
      </c>
      <c r="P70" s="176">
        <f t="shared" si="110"/>
        <v>2.7334987593052107</v>
      </c>
      <c r="Q70" s="221">
        <f t="shared" si="111"/>
        <v>0.34168734491315134</v>
      </c>
      <c r="R70" s="221">
        <f t="shared" si="112"/>
        <v>0.34168734491315134</v>
      </c>
      <c r="S70" s="451">
        <f t="shared" si="113"/>
        <v>16</v>
      </c>
      <c r="T70" s="221">
        <f t="shared" si="114"/>
        <v>0.57069716775599133</v>
      </c>
      <c r="U70" s="221">
        <f t="shared" si="115"/>
        <v>0.53502859477124187</v>
      </c>
      <c r="V70" s="221">
        <f t="shared" si="116"/>
        <v>0.87422973001836901</v>
      </c>
      <c r="W70" s="201">
        <f t="shared" si="117"/>
        <v>350</v>
      </c>
      <c r="X70" s="451">
        <f t="shared" ref="X70:X105" si="158">MIN(1/(U70+V70)*1000, 350)</f>
        <v>350</v>
      </c>
      <c r="Z70" s="221">
        <f t="shared" si="118"/>
        <v>1.1570365118752215</v>
      </c>
      <c r="AA70" s="177">
        <f t="shared" si="119"/>
        <v>1.7724211272598367</v>
      </c>
      <c r="AB70" s="177">
        <f t="shared" si="120"/>
        <v>0.2871058342122137</v>
      </c>
      <c r="AC70" s="177"/>
      <c r="AD70" s="177">
        <f t="shared" si="121"/>
        <v>0.4595588235294118</v>
      </c>
      <c r="AE70" s="555">
        <f t="shared" si="122"/>
        <v>2357.3333333333335</v>
      </c>
      <c r="AF70" s="538">
        <f t="shared" si="123"/>
        <v>1.9301470588235291E-2</v>
      </c>
      <c r="AH70" s="177">
        <f t="shared" si="124"/>
        <v>0.77089928932754526</v>
      </c>
      <c r="AI70" s="177">
        <f t="shared" si="125"/>
        <v>0.77089928932754526</v>
      </c>
      <c r="AJ70" s="177">
        <f t="shared" si="126"/>
        <v>1.5488142883907743</v>
      </c>
      <c r="AL70" s="555">
        <f t="shared" si="127"/>
        <v>130</v>
      </c>
      <c r="AM70" s="469">
        <f t="shared" si="128"/>
        <v>350</v>
      </c>
      <c r="AO70">
        <f t="shared" ref="AO70:AO105" si="159">IF(H70&gt;O70, "",AL70)</f>
        <v>130</v>
      </c>
      <c r="AP70">
        <f t="shared" si="129"/>
        <v>350</v>
      </c>
      <c r="AR70" s="5">
        <f t="shared" ref="AR70:AR133" si="160">1/AM70*1000</f>
        <v>2.8571428571428572</v>
      </c>
      <c r="AS70" s="5">
        <f t="shared" si="130"/>
        <v>0.72271808374457369</v>
      </c>
      <c r="AT70" s="5">
        <f t="shared" ref="AT70:AT105" si="161">AR70-AS70</f>
        <v>2.1344247733982833</v>
      </c>
      <c r="AU70" s="177">
        <f t="shared" ref="AU70:AU105" si="162">AS70/AR70</f>
        <v>0.25295132931060077</v>
      </c>
      <c r="AW70" s="5">
        <f t="shared" si="131"/>
        <v>0.80504166666666677</v>
      </c>
      <c r="AX70" s="5">
        <f t="shared" si="132"/>
        <v>0.93420816666666662</v>
      </c>
      <c r="AY70" s="5">
        <f t="shared" si="133"/>
        <v>0.20126041666666669</v>
      </c>
      <c r="AZ70" s="5">
        <f t="shared" si="134"/>
        <v>0.74841837121212118</v>
      </c>
      <c r="BA70" s="5">
        <f t="shared" si="135"/>
        <v>0.14451834403217542</v>
      </c>
      <c r="BB70" s="469">
        <f t="shared" si="136"/>
        <v>23.447935045148068</v>
      </c>
      <c r="BC70" s="5"/>
      <c r="BD70" s="177">
        <f t="shared" ref="BD70:BD105" si="163">AI70*SQRT(AU70/3)</f>
        <v>0.22384917646998492</v>
      </c>
      <c r="BE70" s="177">
        <f t="shared" si="137"/>
        <v>0.30775240363793505</v>
      </c>
      <c r="BF70" s="177">
        <f t="shared" si="138"/>
        <v>0.15387620181896752</v>
      </c>
      <c r="BG70" s="177"/>
      <c r="BH70" s="538">
        <f t="shared" si="139"/>
        <v>1.7537958832201654E-2</v>
      </c>
      <c r="BI70" s="538">
        <f t="shared" si="140"/>
        <v>6.9590620646176188E-2</v>
      </c>
      <c r="BJ70" s="538">
        <f t="shared" si="141"/>
        <v>4.3749999999999995E-3</v>
      </c>
      <c r="BK70" s="538">
        <f t="shared" si="142"/>
        <v>4.6565908480000008E-2</v>
      </c>
      <c r="BL70">
        <f t="shared" si="143"/>
        <v>9.2800000000000001E-3</v>
      </c>
      <c r="BM70">
        <f t="shared" si="144"/>
        <v>2.3625000000000002E-5</v>
      </c>
      <c r="BN70">
        <f t="shared" si="145"/>
        <v>0.15022683439156104</v>
      </c>
      <c r="BO70" s="469">
        <f t="shared" ref="BO70:BO105" si="164">BN70*1000</f>
        <v>150.22683439156103</v>
      </c>
      <c r="BP70" s="177">
        <f t="shared" si="146"/>
        <v>8.5839809022961927E-2</v>
      </c>
      <c r="BQ70" s="177">
        <f t="shared" si="147"/>
        <v>3.3874952255740484E-2</v>
      </c>
      <c r="BR70" s="538"/>
      <c r="BT70" s="469">
        <f t="shared" ref="BT70:BT105" si="165">SUM(BP70:BS70)*1000</f>
        <v>119.71476127870241</v>
      </c>
      <c r="BU70" s="538">
        <f t="shared" si="148"/>
        <v>5.0108453806290455E-3</v>
      </c>
      <c r="BV70" s="538">
        <f t="shared" si="149"/>
        <v>2.8413462583477948E-3</v>
      </c>
      <c r="BW70" s="538">
        <f t="shared" si="150"/>
        <v>1.1838942743115813E-3</v>
      </c>
      <c r="BX70" s="538">
        <f t="shared" si="151"/>
        <v>0</v>
      </c>
      <c r="BY70" s="538">
        <f t="shared" si="152"/>
        <v>1.0127737431325969E-2</v>
      </c>
      <c r="BZ70" s="538">
        <f t="shared" ref="BZ70:BZ133" si="166">SUM(BU70:BX70)</f>
        <v>9.0360859132884216E-3</v>
      </c>
      <c r="CA70" s="641">
        <f t="shared" si="153"/>
        <v>1.04E-2</v>
      </c>
      <c r="CB70" s="469">
        <f t="shared" ref="CB70:CB105" si="167">(BY70+CA70)*1000</f>
        <v>20.527737431325967</v>
      </c>
      <c r="CC70" s="177">
        <f t="shared" ref="CC70:CC133" si="168">SUM(BN70,BP70:BS70,BY70, CA70)</f>
        <v>0.2904693331015894</v>
      </c>
      <c r="CD70" s="5">
        <f t="shared" ref="CD70:CD105" si="169">MIN(H70+I70,O70+P70)</f>
        <v>3.12</v>
      </c>
      <c r="CE70" s="177">
        <f t="shared" ref="CE70:CE105" si="170">CD70/(CD70+CC70)</f>
        <v>0.91483009969263462</v>
      </c>
      <c r="CF70" s="5">
        <f t="shared" ref="CF70:CF105" si="171">CE70*100</f>
        <v>91.483009969263463</v>
      </c>
      <c r="CG70">
        <f t="shared" ref="CG70:CG105" si="172">F70/Iout*100</f>
        <v>65</v>
      </c>
      <c r="CI70" s="571">
        <f t="shared" si="154"/>
        <v>-50</v>
      </c>
      <c r="CJ70">
        <f t="shared" si="155"/>
        <v>-50</v>
      </c>
    </row>
    <row r="71" spans="5:88" x14ac:dyDescent="0.25">
      <c r="E71" s="174">
        <v>66</v>
      </c>
      <c r="F71" s="221">
        <f t="shared" si="103"/>
        <v>0.13200000000000001</v>
      </c>
      <c r="G71" s="221">
        <f t="shared" si="156"/>
        <v>6.6000000000000003E-2</v>
      </c>
      <c r="H71" s="221">
        <f t="shared" si="105"/>
        <v>2.1120000000000001</v>
      </c>
      <c r="I71" s="221">
        <f t="shared" si="104"/>
        <v>1.056</v>
      </c>
      <c r="J71" s="551">
        <f t="shared" si="106"/>
        <v>32</v>
      </c>
      <c r="K71" s="451">
        <f t="shared" si="107"/>
        <v>19.584</v>
      </c>
      <c r="L71" s="451">
        <f t="shared" si="108"/>
        <v>51.584000000000003</v>
      </c>
      <c r="M71" s="451"/>
      <c r="N71" s="221">
        <f t="shared" si="109"/>
        <v>0.37965260545905705</v>
      </c>
      <c r="O71" s="176">
        <f t="shared" si="157"/>
        <v>5.4669975186104214</v>
      </c>
      <c r="P71" s="176">
        <f t="shared" si="110"/>
        <v>2.7334987593052107</v>
      </c>
      <c r="Q71" s="221">
        <f t="shared" si="111"/>
        <v>0.34168734491315134</v>
      </c>
      <c r="R71" s="221">
        <f t="shared" si="112"/>
        <v>0.34168734491315134</v>
      </c>
      <c r="S71" s="451">
        <f t="shared" si="113"/>
        <v>16</v>
      </c>
      <c r="T71" s="221">
        <f t="shared" si="114"/>
        <v>0.57947712418300656</v>
      </c>
      <c r="U71" s="221">
        <f t="shared" si="115"/>
        <v>0.5432598039215687</v>
      </c>
      <c r="V71" s="221">
        <f t="shared" si="116"/>
        <v>0.88767941817249796</v>
      </c>
      <c r="W71" s="201">
        <f t="shared" si="117"/>
        <v>350</v>
      </c>
      <c r="X71" s="451">
        <f t="shared" si="158"/>
        <v>350</v>
      </c>
      <c r="Z71" s="221">
        <f t="shared" si="118"/>
        <v>1.1570365118752215</v>
      </c>
      <c r="AA71" s="177">
        <f t="shared" si="119"/>
        <v>1.7724211272598367</v>
      </c>
      <c r="AB71" s="177">
        <f t="shared" si="120"/>
        <v>0.2871058342122137</v>
      </c>
      <c r="AC71" s="177"/>
      <c r="AD71" s="177">
        <f t="shared" si="121"/>
        <v>0.4595588235294118</v>
      </c>
      <c r="AE71" s="555">
        <f t="shared" si="122"/>
        <v>2393.6000000000004</v>
      </c>
      <c r="AF71" s="538">
        <f t="shared" si="123"/>
        <v>1.9301470588235291E-2</v>
      </c>
      <c r="AH71" s="177">
        <f t="shared" si="124"/>
        <v>0.77680664996417959</v>
      </c>
      <c r="AI71" s="177">
        <f t="shared" si="125"/>
        <v>0.77680664996417959</v>
      </c>
      <c r="AJ71" s="177">
        <f t="shared" si="126"/>
        <v>1.5531901110845774</v>
      </c>
      <c r="AL71" s="555">
        <f t="shared" si="127"/>
        <v>132</v>
      </c>
      <c r="AM71" s="469">
        <f t="shared" si="128"/>
        <v>350</v>
      </c>
      <c r="AO71">
        <f t="shared" si="159"/>
        <v>132</v>
      </c>
      <c r="AP71">
        <f t="shared" si="129"/>
        <v>350</v>
      </c>
      <c r="AR71" s="5">
        <f t="shared" si="160"/>
        <v>2.8571428571428572</v>
      </c>
      <c r="AS71" s="5">
        <f t="shared" si="130"/>
        <v>0.7282562343414184</v>
      </c>
      <c r="AT71" s="5">
        <f t="shared" si="161"/>
        <v>2.1288866228014389</v>
      </c>
      <c r="AU71" s="177">
        <f t="shared" si="162"/>
        <v>0.25488968201949641</v>
      </c>
      <c r="AW71" s="5">
        <f t="shared" si="131"/>
        <v>0.80504166666666677</v>
      </c>
      <c r="AX71" s="5">
        <f t="shared" si="132"/>
        <v>0.95708183999999996</v>
      </c>
      <c r="AY71" s="5">
        <f t="shared" si="133"/>
        <v>0.20126041666666669</v>
      </c>
      <c r="AZ71" s="5">
        <f t="shared" si="134"/>
        <v>0.76959300000000008</v>
      </c>
      <c r="BA71" s="5">
        <f t="shared" si="135"/>
        <v>0.14636095531759893</v>
      </c>
      <c r="BB71" s="469">
        <f t="shared" si="136"/>
        <v>23.747752850815829</v>
      </c>
      <c r="BC71" s="5"/>
      <c r="BD71" s="177">
        <f t="shared" si="163"/>
        <v>0.22642711608293703</v>
      </c>
      <c r="BE71" s="177">
        <f t="shared" si="137"/>
        <v>0.30970811367631562</v>
      </c>
      <c r="BF71" s="177">
        <f t="shared" si="138"/>
        <v>0.15485405683815781</v>
      </c>
      <c r="BG71" s="177"/>
      <c r="BH71" s="538">
        <f t="shared" si="139"/>
        <v>1.7944233614172543E-2</v>
      </c>
      <c r="BI71" s="538">
        <f t="shared" si="140"/>
        <v>7.0123889905566436E-2</v>
      </c>
      <c r="BJ71" s="538">
        <f t="shared" si="141"/>
        <v>4.3749999999999995E-3</v>
      </c>
      <c r="BK71" s="538">
        <f t="shared" si="142"/>
        <v>4.6565908480000008E-2</v>
      </c>
      <c r="BL71">
        <f t="shared" si="143"/>
        <v>9.2800000000000001E-3</v>
      </c>
      <c r="BM71">
        <f t="shared" si="144"/>
        <v>2.3625000000000002E-5</v>
      </c>
      <c r="BN71">
        <f t="shared" si="145"/>
        <v>0.15123582666799415</v>
      </c>
      <c r="BO71" s="469">
        <f t="shared" si="164"/>
        <v>151.23582666799416</v>
      </c>
      <c r="BP71" s="177">
        <f t="shared" si="146"/>
        <v>8.7065102188591717E-2</v>
      </c>
      <c r="BQ71" s="177">
        <f t="shared" si="147"/>
        <v>3.4372275547147932E-2</v>
      </c>
      <c r="BR71" s="538"/>
      <c r="BT71" s="469">
        <f t="shared" si="165"/>
        <v>121.43737773573964</v>
      </c>
      <c r="BU71" s="538">
        <f t="shared" si="148"/>
        <v>5.1269238897635842E-3</v>
      </c>
      <c r="BV71" s="538">
        <f t="shared" si="149"/>
        <v>2.877573470308249E-3</v>
      </c>
      <c r="BW71" s="538">
        <f t="shared" si="150"/>
        <v>1.1989889459617705E-3</v>
      </c>
      <c r="BX71" s="538">
        <f t="shared" si="151"/>
        <v>0</v>
      </c>
      <c r="BY71" s="538">
        <f t="shared" si="152"/>
        <v>1.0315499747611E-2</v>
      </c>
      <c r="BZ71" s="538">
        <f t="shared" si="166"/>
        <v>9.2034863060336033E-3</v>
      </c>
      <c r="CA71" s="641">
        <f t="shared" si="153"/>
        <v>1.056E-2</v>
      </c>
      <c r="CB71" s="469">
        <f t="shared" si="167"/>
        <v>20.875499747610998</v>
      </c>
      <c r="CC71" s="177">
        <f t="shared" si="168"/>
        <v>0.29354870415134482</v>
      </c>
      <c r="CD71" s="5">
        <f t="shared" si="169"/>
        <v>3.1680000000000001</v>
      </c>
      <c r="CE71" s="177">
        <f t="shared" si="170"/>
        <v>0.91519729195221222</v>
      </c>
      <c r="CF71" s="5">
        <f t="shared" si="171"/>
        <v>91.519729195221217</v>
      </c>
      <c r="CG71">
        <f t="shared" si="172"/>
        <v>66</v>
      </c>
      <c r="CI71" s="571">
        <f t="shared" si="154"/>
        <v>-50</v>
      </c>
      <c r="CJ71">
        <f t="shared" si="155"/>
        <v>-50</v>
      </c>
    </row>
    <row r="72" spans="5:88" x14ac:dyDescent="0.25">
      <c r="E72" s="174">
        <v>67</v>
      </c>
      <c r="F72" s="221">
        <f t="shared" ref="F72:F103" si="173">IF(PLOT_TYPE=1, E72/100*Iout_max, min_I*EXP(O72*rr/100))</f>
        <v>0.13400000000000001</v>
      </c>
      <c r="G72" s="221">
        <f t="shared" si="156"/>
        <v>6.7000000000000004E-2</v>
      </c>
      <c r="H72" s="221">
        <f t="shared" si="105"/>
        <v>2.1440000000000001</v>
      </c>
      <c r="I72" s="221">
        <f t="shared" ref="I72:I105" si="174">Vout2*G72</f>
        <v>1.0720000000000001</v>
      </c>
      <c r="J72" s="551">
        <f t="shared" si="106"/>
        <v>32</v>
      </c>
      <c r="K72" s="451">
        <f t="shared" si="107"/>
        <v>19.584</v>
      </c>
      <c r="L72" s="451">
        <f t="shared" si="108"/>
        <v>51.584000000000003</v>
      </c>
      <c r="M72" s="451"/>
      <c r="N72" s="221">
        <f t="shared" si="109"/>
        <v>0.37965260545905705</v>
      </c>
      <c r="O72" s="176">
        <f t="shared" si="157"/>
        <v>5.4669975186104214</v>
      </c>
      <c r="P72" s="176">
        <f t="shared" si="110"/>
        <v>2.7334987593052107</v>
      </c>
      <c r="Q72" s="221">
        <f t="shared" si="111"/>
        <v>0.34168734491315134</v>
      </c>
      <c r="R72" s="221">
        <f t="shared" si="112"/>
        <v>0.34168734491315134</v>
      </c>
      <c r="S72" s="451">
        <f t="shared" si="113"/>
        <v>16</v>
      </c>
      <c r="T72" s="221">
        <f t="shared" si="114"/>
        <v>0.58825708061002191</v>
      </c>
      <c r="U72" s="221">
        <f t="shared" si="115"/>
        <v>0.55149101307189552</v>
      </c>
      <c r="V72" s="221">
        <f t="shared" si="116"/>
        <v>0.90112910632662679</v>
      </c>
      <c r="W72" s="201">
        <f t="shared" si="117"/>
        <v>350</v>
      </c>
      <c r="X72" s="451">
        <f t="shared" si="158"/>
        <v>350</v>
      </c>
      <c r="Z72" s="221">
        <f t="shared" si="118"/>
        <v>1.1570365118752215</v>
      </c>
      <c r="AA72" s="177">
        <f t="shared" si="119"/>
        <v>1.7724211272598367</v>
      </c>
      <c r="AB72" s="177">
        <f t="shared" si="120"/>
        <v>0.2871058342122137</v>
      </c>
      <c r="AC72" s="177"/>
      <c r="AD72" s="177">
        <f t="shared" si="121"/>
        <v>0.4595588235294118</v>
      </c>
      <c r="AE72" s="555">
        <f t="shared" si="122"/>
        <v>2429.8666666666672</v>
      </c>
      <c r="AF72" s="538">
        <f t="shared" si="123"/>
        <v>1.9301470588235291E-2</v>
      </c>
      <c r="AH72" s="177">
        <f t="shared" si="124"/>
        <v>0.78266942483492263</v>
      </c>
      <c r="AI72" s="177">
        <f t="shared" si="125"/>
        <v>0.78266942483492263</v>
      </c>
      <c r="AJ72" s="177">
        <f t="shared" si="126"/>
        <v>1.5575329072851278</v>
      </c>
      <c r="AL72" s="555">
        <f t="shared" si="127"/>
        <v>134</v>
      </c>
      <c r="AM72" s="469">
        <f t="shared" si="128"/>
        <v>350</v>
      </c>
      <c r="AO72">
        <f t="shared" si="159"/>
        <v>134</v>
      </c>
      <c r="AP72">
        <f t="shared" si="129"/>
        <v>350</v>
      </c>
      <c r="AR72" s="5">
        <f t="shared" si="160"/>
        <v>2.8571428571428572</v>
      </c>
      <c r="AS72" s="5">
        <f t="shared" si="130"/>
        <v>0.73375258578273994</v>
      </c>
      <c r="AT72" s="5">
        <f t="shared" si="161"/>
        <v>2.1233902713601172</v>
      </c>
      <c r="AU72" s="177">
        <f t="shared" si="162"/>
        <v>0.256813405023959</v>
      </c>
      <c r="AW72" s="5">
        <f t="shared" si="131"/>
        <v>0.80504166666666677</v>
      </c>
      <c r="AX72" s="5">
        <f t="shared" si="132"/>
        <v>0.9802131266666666</v>
      </c>
      <c r="AY72" s="5">
        <f t="shared" si="133"/>
        <v>0.20126041666666669</v>
      </c>
      <c r="AZ72" s="5">
        <f t="shared" si="134"/>
        <v>0.79106037121212114</v>
      </c>
      <c r="BA72" s="5">
        <f t="shared" si="135"/>
        <v>0.14819494602200817</v>
      </c>
      <c r="BB72" s="469">
        <f t="shared" si="136"/>
        <v>24.046191363521309</v>
      </c>
      <c r="BC72" s="5"/>
      <c r="BD72" s="177">
        <f t="shared" si="163"/>
        <v>0.22899530882518057</v>
      </c>
      <c r="BE72" s="177">
        <f t="shared" si="137"/>
        <v>0.31164248719483556</v>
      </c>
      <c r="BF72" s="177">
        <f t="shared" si="138"/>
        <v>0.15582124359741778</v>
      </c>
      <c r="BG72" s="177"/>
      <c r="BH72" s="538">
        <f t="shared" si="139"/>
        <v>1.8353598012378937E-2</v>
      </c>
      <c r="BI72" s="538">
        <f t="shared" si="140"/>
        <v>7.0653134318698144E-2</v>
      </c>
      <c r="BJ72" s="538">
        <f t="shared" si="141"/>
        <v>4.3749999999999995E-3</v>
      </c>
      <c r="BK72" s="538">
        <f t="shared" si="142"/>
        <v>4.6565908480000008E-2</v>
      </c>
      <c r="BL72">
        <f t="shared" si="143"/>
        <v>9.2800000000000001E-3</v>
      </c>
      <c r="BM72">
        <f t="shared" si="144"/>
        <v>2.3625000000000002E-5</v>
      </c>
      <c r="BN72">
        <f t="shared" si="145"/>
        <v>0.15224453790917167</v>
      </c>
      <c r="BO72" s="469">
        <f t="shared" si="164"/>
        <v>152.24453790917167</v>
      </c>
      <c r="BP72" s="177">
        <f t="shared" si="146"/>
        <v>8.8288237213143606E-2</v>
      </c>
      <c r="BQ72" s="177">
        <f t="shared" si="147"/>
        <v>3.4869059303285904E-2</v>
      </c>
      <c r="BR72" s="538"/>
      <c r="BT72" s="469">
        <f t="shared" si="165"/>
        <v>123.15729651642951</v>
      </c>
      <c r="BU72" s="538">
        <f t="shared" si="148"/>
        <v>5.2438851463939831E-3</v>
      </c>
      <c r="BV72" s="538">
        <f t="shared" si="149"/>
        <v>2.9136311947494972E-3</v>
      </c>
      <c r="BW72" s="538">
        <f t="shared" si="150"/>
        <v>1.2140129978122907E-3</v>
      </c>
      <c r="BX72" s="538">
        <f t="shared" si="151"/>
        <v>0</v>
      </c>
      <c r="BY72" s="538">
        <f t="shared" si="152"/>
        <v>1.0503987934118513E-2</v>
      </c>
      <c r="BZ72" s="538">
        <f t="shared" si="166"/>
        <v>9.3715293389557697E-3</v>
      </c>
      <c r="CA72" s="641">
        <f t="shared" si="153"/>
        <v>1.0720000000000002E-2</v>
      </c>
      <c r="CB72" s="469">
        <f t="shared" si="167"/>
        <v>21.223987934118515</v>
      </c>
      <c r="CC72" s="177">
        <f t="shared" si="168"/>
        <v>0.29662582235971968</v>
      </c>
      <c r="CD72" s="5">
        <f t="shared" si="169"/>
        <v>3.2160000000000002</v>
      </c>
      <c r="CE72" s="177">
        <f t="shared" si="170"/>
        <v>0.91555439225221791</v>
      </c>
      <c r="CF72" s="5">
        <f t="shared" si="171"/>
        <v>91.555439225221789</v>
      </c>
      <c r="CG72">
        <f t="shared" si="172"/>
        <v>67</v>
      </c>
      <c r="CI72" s="571">
        <f t="shared" si="154"/>
        <v>-50</v>
      </c>
      <c r="CJ72">
        <f t="shared" si="155"/>
        <v>-50</v>
      </c>
    </row>
    <row r="73" spans="5:88" x14ac:dyDescent="0.25">
      <c r="E73" s="174">
        <v>68</v>
      </c>
      <c r="F73" s="221">
        <f t="shared" si="173"/>
        <v>0.13600000000000001</v>
      </c>
      <c r="G73" s="221">
        <f t="shared" si="156"/>
        <v>6.8000000000000005E-2</v>
      </c>
      <c r="H73" s="221">
        <f t="shared" si="105"/>
        <v>2.1760000000000002</v>
      </c>
      <c r="I73" s="221">
        <f t="shared" si="174"/>
        <v>1.0880000000000001</v>
      </c>
      <c r="J73" s="551">
        <f t="shared" si="106"/>
        <v>32</v>
      </c>
      <c r="K73" s="451">
        <f t="shared" si="107"/>
        <v>19.584</v>
      </c>
      <c r="L73" s="451">
        <f t="shared" si="108"/>
        <v>51.584000000000003</v>
      </c>
      <c r="M73" s="451"/>
      <c r="N73" s="221">
        <f t="shared" si="109"/>
        <v>0.37965260545905705</v>
      </c>
      <c r="O73" s="176">
        <f t="shared" si="157"/>
        <v>5.4669975186104214</v>
      </c>
      <c r="P73" s="176">
        <f t="shared" si="110"/>
        <v>2.7334987593052107</v>
      </c>
      <c r="Q73" s="221">
        <f t="shared" si="111"/>
        <v>0.34168734491315134</v>
      </c>
      <c r="R73" s="221">
        <f t="shared" si="112"/>
        <v>0.34168734491315134</v>
      </c>
      <c r="S73" s="451">
        <f t="shared" si="113"/>
        <v>16</v>
      </c>
      <c r="T73" s="221">
        <f t="shared" si="114"/>
        <v>0.59703703703703714</v>
      </c>
      <c r="U73" s="221">
        <f t="shared" si="115"/>
        <v>0.55972222222222234</v>
      </c>
      <c r="V73" s="221">
        <f t="shared" si="116"/>
        <v>0.91457879448075541</v>
      </c>
      <c r="W73" s="201">
        <f t="shared" si="117"/>
        <v>350</v>
      </c>
      <c r="X73" s="451">
        <f t="shared" si="158"/>
        <v>350</v>
      </c>
      <c r="Z73" s="221">
        <f t="shared" si="118"/>
        <v>1.1570365118752215</v>
      </c>
      <c r="AA73" s="177">
        <f t="shared" si="119"/>
        <v>1.7724211272598367</v>
      </c>
      <c r="AB73" s="177">
        <f t="shared" si="120"/>
        <v>0.2871058342122137</v>
      </c>
      <c r="AC73" s="177"/>
      <c r="AD73" s="177">
        <f t="shared" si="121"/>
        <v>0.4595588235294118</v>
      </c>
      <c r="AE73" s="555">
        <f t="shared" si="122"/>
        <v>2466.1333333333337</v>
      </c>
      <c r="AF73" s="538">
        <f t="shared" si="123"/>
        <v>1.9301470588235291E-2</v>
      </c>
      <c r="AH73" s="177">
        <f t="shared" si="124"/>
        <v>0.78848860848732982</v>
      </c>
      <c r="AI73" s="177">
        <f t="shared" si="125"/>
        <v>0.78848860848732982</v>
      </c>
      <c r="AJ73" s="177">
        <f t="shared" si="126"/>
        <v>1.5618434136943184</v>
      </c>
      <c r="AL73" s="555">
        <f t="shared" si="127"/>
        <v>136</v>
      </c>
      <c r="AM73" s="469">
        <f t="shared" si="128"/>
        <v>350</v>
      </c>
      <c r="AO73">
        <f t="shared" si="159"/>
        <v>136</v>
      </c>
      <c r="AP73">
        <f t="shared" si="129"/>
        <v>350</v>
      </c>
      <c r="AR73" s="5">
        <f t="shared" si="160"/>
        <v>2.8571428571428572</v>
      </c>
      <c r="AS73" s="5">
        <f t="shared" si="130"/>
        <v>0.73920807045687165</v>
      </c>
      <c r="AT73" s="5">
        <f t="shared" si="161"/>
        <v>2.1179347866859857</v>
      </c>
      <c r="AU73" s="177">
        <f t="shared" si="162"/>
        <v>0.25872282465990509</v>
      </c>
      <c r="AW73" s="5">
        <f t="shared" si="131"/>
        <v>0.80504166666666677</v>
      </c>
      <c r="AX73" s="5">
        <f t="shared" si="132"/>
        <v>1.0036020266666665</v>
      </c>
      <c r="AY73" s="5">
        <f t="shared" si="133"/>
        <v>0.20126041666666669</v>
      </c>
      <c r="AZ73" s="5">
        <f t="shared" si="134"/>
        <v>0.81282048484848468</v>
      </c>
      <c r="BA73" s="5">
        <f t="shared" si="135"/>
        <v>0.15002038072359064</v>
      </c>
      <c r="BB73" s="469">
        <f t="shared" si="136"/>
        <v>24.343260915774504</v>
      </c>
      <c r="BC73" s="5"/>
      <c r="BD73" s="177">
        <f t="shared" si="163"/>
        <v>0.23155393621603246</v>
      </c>
      <c r="BE73" s="177">
        <f t="shared" si="137"/>
        <v>0.31355598656541761</v>
      </c>
      <c r="BF73" s="177">
        <f t="shared" si="138"/>
        <v>0.15677799328270881</v>
      </c>
      <c r="BG73" s="177"/>
      <c r="BH73" s="538">
        <f t="shared" si="139"/>
        <v>1.8766028881998451E-2</v>
      </c>
      <c r="BI73" s="538">
        <f t="shared" si="140"/>
        <v>7.1178443665368255E-2</v>
      </c>
      <c r="BJ73" s="538">
        <f t="shared" si="141"/>
        <v>4.3749999999999995E-3</v>
      </c>
      <c r="BK73" s="538">
        <f t="shared" si="142"/>
        <v>4.6565908480000008E-2</v>
      </c>
      <c r="BL73">
        <f t="shared" si="143"/>
        <v>9.2800000000000001E-3</v>
      </c>
      <c r="BM73">
        <f t="shared" si="144"/>
        <v>2.3625000000000002E-5</v>
      </c>
      <c r="BN73">
        <f t="shared" si="145"/>
        <v>0.15325303285657155</v>
      </c>
      <c r="BO73" s="469">
        <f t="shared" si="164"/>
        <v>153.25303285657154</v>
      </c>
      <c r="BP73" s="177">
        <f t="shared" si="146"/>
        <v>8.9509230263606729E-2</v>
      </c>
      <c r="BQ73" s="177">
        <f t="shared" si="147"/>
        <v>3.5365307565901685E-2</v>
      </c>
      <c r="BR73" s="538"/>
      <c r="BT73" s="469">
        <f t="shared" si="165"/>
        <v>124.87453782950841</v>
      </c>
      <c r="BU73" s="538">
        <f t="shared" si="148"/>
        <v>5.3617225377138433E-3</v>
      </c>
      <c r="BV73" s="538">
        <f t="shared" si="149"/>
        <v>2.9495207013303707E-3</v>
      </c>
      <c r="BW73" s="538">
        <f t="shared" si="150"/>
        <v>1.2289669588876546E-3</v>
      </c>
      <c r="BX73" s="538">
        <f t="shared" si="151"/>
        <v>0</v>
      </c>
      <c r="BY73" s="538">
        <f t="shared" si="152"/>
        <v>1.0693196649181376E-2</v>
      </c>
      <c r="BZ73" s="538">
        <f t="shared" si="166"/>
        <v>9.5402101979318692E-3</v>
      </c>
      <c r="CA73" s="641">
        <f t="shared" si="153"/>
        <v>1.0879999999999999E-2</v>
      </c>
      <c r="CB73" s="469">
        <f t="shared" si="167"/>
        <v>21.573196649181373</v>
      </c>
      <c r="CC73" s="177">
        <f t="shared" si="168"/>
        <v>0.29970076733526135</v>
      </c>
      <c r="CD73" s="5">
        <f t="shared" si="169"/>
        <v>3.2640000000000002</v>
      </c>
      <c r="CE73" s="177">
        <f t="shared" si="170"/>
        <v>0.91590181474204946</v>
      </c>
      <c r="CF73" s="5">
        <f t="shared" si="171"/>
        <v>91.59018147420494</v>
      </c>
      <c r="CG73">
        <f t="shared" si="172"/>
        <v>68</v>
      </c>
      <c r="CI73" s="571">
        <f t="shared" si="154"/>
        <v>-50</v>
      </c>
      <c r="CJ73">
        <f t="shared" si="155"/>
        <v>-50</v>
      </c>
    </row>
    <row r="74" spans="5:88" x14ac:dyDescent="0.25">
      <c r="E74" s="174">
        <v>69</v>
      </c>
      <c r="F74" s="221">
        <f t="shared" si="173"/>
        <v>0.13799999999999998</v>
      </c>
      <c r="G74" s="221">
        <f t="shared" si="156"/>
        <v>6.8999999999999992E-2</v>
      </c>
      <c r="H74" s="221">
        <f t="shared" si="105"/>
        <v>2.2079999999999997</v>
      </c>
      <c r="I74" s="221">
        <f t="shared" si="174"/>
        <v>1.1039999999999999</v>
      </c>
      <c r="J74" s="551">
        <f t="shared" si="106"/>
        <v>32</v>
      </c>
      <c r="K74" s="451">
        <f t="shared" si="107"/>
        <v>19.584</v>
      </c>
      <c r="L74" s="451">
        <f t="shared" si="108"/>
        <v>51.584000000000003</v>
      </c>
      <c r="M74" s="451"/>
      <c r="N74" s="221">
        <f t="shared" si="109"/>
        <v>0.37965260545905705</v>
      </c>
      <c r="O74" s="176">
        <f t="shared" si="157"/>
        <v>5.4669975186104214</v>
      </c>
      <c r="P74" s="176">
        <f t="shared" si="110"/>
        <v>2.7334987593052107</v>
      </c>
      <c r="Q74" s="221">
        <f t="shared" si="111"/>
        <v>0.34168734491315134</v>
      </c>
      <c r="R74" s="221">
        <f t="shared" si="112"/>
        <v>0.34168734491315134</v>
      </c>
      <c r="S74" s="451">
        <f t="shared" si="113"/>
        <v>16</v>
      </c>
      <c r="T74" s="221">
        <f t="shared" si="114"/>
        <v>0.60581699346405227</v>
      </c>
      <c r="U74" s="221">
        <f t="shared" si="115"/>
        <v>0.56795343137254894</v>
      </c>
      <c r="V74" s="221">
        <f t="shared" si="116"/>
        <v>0.92802848263488391</v>
      </c>
      <c r="W74" s="201">
        <f t="shared" si="117"/>
        <v>350</v>
      </c>
      <c r="X74" s="451">
        <f t="shared" si="158"/>
        <v>350</v>
      </c>
      <c r="Z74" s="221">
        <f t="shared" si="118"/>
        <v>1.1570365118752215</v>
      </c>
      <c r="AA74" s="177">
        <f t="shared" si="119"/>
        <v>1.7724211272598367</v>
      </c>
      <c r="AB74" s="177">
        <f t="shared" si="120"/>
        <v>0.2871058342122137</v>
      </c>
      <c r="AC74" s="177"/>
      <c r="AD74" s="177">
        <f t="shared" si="121"/>
        <v>0.4595588235294118</v>
      </c>
      <c r="AE74" s="555">
        <f t="shared" si="122"/>
        <v>2502.4</v>
      </c>
      <c r="AF74" s="538">
        <f t="shared" si="123"/>
        <v>1.9301470588235291E-2</v>
      </c>
      <c r="AH74" s="177">
        <f t="shared" si="124"/>
        <v>0.79426515903515671</v>
      </c>
      <c r="AI74" s="177">
        <f t="shared" si="125"/>
        <v>0.79426515903515671</v>
      </c>
      <c r="AJ74" s="177">
        <f t="shared" si="126"/>
        <v>1.566122340026042</v>
      </c>
      <c r="AL74" s="555">
        <f t="shared" si="127"/>
        <v>137.99999999999997</v>
      </c>
      <c r="AM74" s="469">
        <f t="shared" si="128"/>
        <v>350</v>
      </c>
      <c r="AO74">
        <f t="shared" si="159"/>
        <v>137.99999999999997</v>
      </c>
      <c r="AP74">
        <f t="shared" si="129"/>
        <v>350</v>
      </c>
      <c r="AR74" s="5">
        <f t="shared" si="160"/>
        <v>2.8571428571428572</v>
      </c>
      <c r="AS74" s="5">
        <f t="shared" si="130"/>
        <v>0.74462358659545946</v>
      </c>
      <c r="AT74" s="5">
        <f t="shared" si="161"/>
        <v>2.1125192705473976</v>
      </c>
      <c r="AU74" s="177">
        <f t="shared" si="162"/>
        <v>0.26061825530841082</v>
      </c>
      <c r="AW74" s="5">
        <f t="shared" si="131"/>
        <v>0.80504166666666677</v>
      </c>
      <c r="AX74" s="5">
        <f t="shared" si="132"/>
        <v>1.0272485399999995</v>
      </c>
      <c r="AY74" s="5">
        <f t="shared" si="133"/>
        <v>0.20126041666666669</v>
      </c>
      <c r="AZ74" s="5">
        <f t="shared" si="134"/>
        <v>0.8348733409090906</v>
      </c>
      <c r="BA74" s="5">
        <f t="shared" si="135"/>
        <v>0.15183732257059415</v>
      </c>
      <c r="BB74" s="469">
        <f t="shared" si="136"/>
        <v>24.638971611295069</v>
      </c>
      <c r="BC74" s="5"/>
      <c r="BD74" s="177">
        <f t="shared" si="163"/>
        <v>0.23410317377905368</v>
      </c>
      <c r="BE74" s="177">
        <f t="shared" si="137"/>
        <v>0.315449057249922</v>
      </c>
      <c r="BF74" s="177">
        <f t="shared" si="138"/>
        <v>0.157724528624961</v>
      </c>
      <c r="BG74" s="177"/>
      <c r="BH74" s="538">
        <f t="shared" si="139"/>
        <v>1.918150359069903E-2</v>
      </c>
      <c r="BI74" s="538">
        <f t="shared" si="140"/>
        <v>7.1699904436421671E-2</v>
      </c>
      <c r="BJ74" s="538">
        <f t="shared" si="141"/>
        <v>4.3749999999999995E-3</v>
      </c>
      <c r="BK74" s="538">
        <f t="shared" si="142"/>
        <v>4.6565908480000008E-2</v>
      </c>
      <c r="BL74">
        <f t="shared" si="143"/>
        <v>9.2800000000000001E-3</v>
      </c>
      <c r="BM74">
        <f t="shared" si="144"/>
        <v>2.3625000000000002E-5</v>
      </c>
      <c r="BN74">
        <f t="shared" si="145"/>
        <v>0.1542613735510949</v>
      </c>
      <c r="BO74" s="469">
        <f t="shared" si="164"/>
        <v>154.26137355109489</v>
      </c>
      <c r="BP74" s="177">
        <f t="shared" si="146"/>
        <v>9.072809714898826E-2</v>
      </c>
      <c r="BQ74" s="177">
        <f t="shared" si="147"/>
        <v>3.5861024287247065E-2</v>
      </c>
      <c r="BR74" s="538"/>
      <c r="BT74" s="469">
        <f t="shared" si="165"/>
        <v>126.58912143623533</v>
      </c>
      <c r="BU74" s="538">
        <f t="shared" si="148"/>
        <v>5.480429597342581E-3</v>
      </c>
      <c r="BV74" s="538">
        <f t="shared" si="149"/>
        <v>2.9852432315959371E-3</v>
      </c>
      <c r="BW74" s="538">
        <f t="shared" si="150"/>
        <v>1.2438513464983073E-3</v>
      </c>
      <c r="BX74" s="538">
        <f t="shared" si="151"/>
        <v>0</v>
      </c>
      <c r="BY74" s="538">
        <f t="shared" si="152"/>
        <v>1.0883120670349482E-2</v>
      </c>
      <c r="BZ74" s="538">
        <f t="shared" si="166"/>
        <v>9.7095241754368254E-3</v>
      </c>
      <c r="CA74" s="641">
        <f t="shared" si="153"/>
        <v>1.1039999999999999E-2</v>
      </c>
      <c r="CB74" s="469">
        <f t="shared" si="167"/>
        <v>21.92312067034948</v>
      </c>
      <c r="CC74" s="177">
        <f t="shared" si="168"/>
        <v>0.30277361565767968</v>
      </c>
      <c r="CD74" s="5">
        <f t="shared" si="169"/>
        <v>3.3119999999999994</v>
      </c>
      <c r="CE74" s="177">
        <f t="shared" si="170"/>
        <v>0.91623995086547283</v>
      </c>
      <c r="CF74" s="5">
        <f t="shared" si="171"/>
        <v>91.623995086547282</v>
      </c>
      <c r="CG74">
        <f t="shared" si="172"/>
        <v>68.999999999999986</v>
      </c>
      <c r="CI74" s="571">
        <f t="shared" si="154"/>
        <v>-50</v>
      </c>
      <c r="CJ74">
        <f t="shared" si="155"/>
        <v>-50</v>
      </c>
    </row>
    <row r="75" spans="5:88" x14ac:dyDescent="0.25">
      <c r="E75" s="174">
        <v>70</v>
      </c>
      <c r="F75" s="221">
        <f t="shared" si="173"/>
        <v>0.13999999999999999</v>
      </c>
      <c r="G75" s="221">
        <f t="shared" si="156"/>
        <v>6.9999999999999993E-2</v>
      </c>
      <c r="H75" s="221">
        <f t="shared" si="105"/>
        <v>2.2399999999999998</v>
      </c>
      <c r="I75" s="221">
        <f t="shared" si="174"/>
        <v>1.1199999999999999</v>
      </c>
      <c r="J75" s="551">
        <f t="shared" si="106"/>
        <v>32</v>
      </c>
      <c r="K75" s="451">
        <f t="shared" si="107"/>
        <v>19.584</v>
      </c>
      <c r="L75" s="451">
        <f t="shared" si="108"/>
        <v>51.584000000000003</v>
      </c>
      <c r="M75" s="451"/>
      <c r="N75" s="221">
        <f t="shared" si="109"/>
        <v>0.37965260545905705</v>
      </c>
      <c r="O75" s="176">
        <f t="shared" si="157"/>
        <v>5.4669975186104214</v>
      </c>
      <c r="P75" s="176">
        <f t="shared" si="110"/>
        <v>2.7334987593052107</v>
      </c>
      <c r="Q75" s="221">
        <f t="shared" si="111"/>
        <v>0.34168734491315134</v>
      </c>
      <c r="R75" s="221">
        <f t="shared" si="112"/>
        <v>0.34168734491315134</v>
      </c>
      <c r="S75" s="451">
        <f t="shared" si="113"/>
        <v>16</v>
      </c>
      <c r="T75" s="221">
        <f t="shared" si="114"/>
        <v>0.6145969498910675</v>
      </c>
      <c r="U75" s="221">
        <f t="shared" si="115"/>
        <v>0.57618464052287588</v>
      </c>
      <c r="V75" s="221">
        <f t="shared" si="116"/>
        <v>0.94147817078901275</v>
      </c>
      <c r="W75" s="201">
        <f t="shared" si="117"/>
        <v>350</v>
      </c>
      <c r="X75" s="451">
        <f t="shared" si="158"/>
        <v>350</v>
      </c>
      <c r="Z75" s="221">
        <f t="shared" si="118"/>
        <v>1.1570365118752215</v>
      </c>
      <c r="AA75" s="177">
        <f t="shared" si="119"/>
        <v>1.7724211272598367</v>
      </c>
      <c r="AB75" s="177">
        <f t="shared" si="120"/>
        <v>0.2871058342122137</v>
      </c>
      <c r="AC75" s="177"/>
      <c r="AD75" s="177">
        <f t="shared" si="121"/>
        <v>0.4595588235294118</v>
      </c>
      <c r="AE75" s="555">
        <f t="shared" si="122"/>
        <v>2538.666666666667</v>
      </c>
      <c r="AF75" s="538">
        <f t="shared" si="123"/>
        <v>1.9301470588235291E-2</v>
      </c>
      <c r="AH75" s="177">
        <f t="shared" si="124"/>
        <v>0.79999999999999993</v>
      </c>
      <c r="AI75" s="177">
        <f t="shared" si="125"/>
        <v>0.79999999999999993</v>
      </c>
      <c r="AJ75" s="177">
        <f t="shared" si="126"/>
        <v>1.5703703703703702</v>
      </c>
      <c r="AL75" s="555">
        <f t="shared" si="127"/>
        <v>139.99999999999997</v>
      </c>
      <c r="AM75" s="469">
        <f t="shared" si="128"/>
        <v>350</v>
      </c>
      <c r="AO75">
        <f t="shared" si="159"/>
        <v>139.99999999999997</v>
      </c>
      <c r="AP75">
        <f t="shared" si="129"/>
        <v>350</v>
      </c>
      <c r="AR75" s="5">
        <f t="shared" si="160"/>
        <v>2.8571428571428572</v>
      </c>
      <c r="AS75" s="5">
        <f t="shared" si="130"/>
        <v>0.74999999999999989</v>
      </c>
      <c r="AT75" s="5">
        <f t="shared" si="161"/>
        <v>2.1071428571428572</v>
      </c>
      <c r="AU75" s="177">
        <f t="shared" si="162"/>
        <v>0.26249999999999996</v>
      </c>
      <c r="AW75" s="5">
        <f t="shared" si="131"/>
        <v>0.80504166666666677</v>
      </c>
      <c r="AX75" s="5">
        <f t="shared" si="132"/>
        <v>1.0511526666666664</v>
      </c>
      <c r="AY75" s="5">
        <f t="shared" si="133"/>
        <v>0.20126041666666669</v>
      </c>
      <c r="AZ75" s="5">
        <f t="shared" si="134"/>
        <v>0.85721893939393912</v>
      </c>
      <c r="BA75" s="5">
        <f t="shared" si="135"/>
        <v>0.15364583333333329</v>
      </c>
      <c r="BB75" s="469">
        <f t="shared" si="136"/>
        <v>24.933333333333326</v>
      </c>
      <c r="BC75" s="5"/>
      <c r="BD75" s="177">
        <f t="shared" si="163"/>
        <v>0.23664319132398462</v>
      </c>
      <c r="BE75" s="177">
        <f t="shared" si="137"/>
        <v>0.31732212865372833</v>
      </c>
      <c r="BF75" s="177">
        <f t="shared" si="138"/>
        <v>0.15866106432686417</v>
      </c>
      <c r="BG75" s="177"/>
      <c r="BH75" s="538">
        <f t="shared" si="139"/>
        <v>1.9599999999999996E-2</v>
      </c>
      <c r="BI75" s="538">
        <f t="shared" si="140"/>
        <v>7.2217600000000007E-2</v>
      </c>
      <c r="BJ75" s="538">
        <f t="shared" si="141"/>
        <v>4.3749999999999995E-3</v>
      </c>
      <c r="BK75" s="538">
        <f t="shared" si="142"/>
        <v>4.6565908480000008E-2</v>
      </c>
      <c r="BL75">
        <f t="shared" si="143"/>
        <v>9.2800000000000001E-3</v>
      </c>
      <c r="BM75">
        <f t="shared" si="144"/>
        <v>2.3625000000000002E-5</v>
      </c>
      <c r="BN75">
        <f t="shared" si="145"/>
        <v>0.1552696194779562</v>
      </c>
      <c r="BO75" s="469">
        <f t="shared" si="164"/>
        <v>155.26961947795621</v>
      </c>
      <c r="BP75" s="177">
        <f t="shared" si="146"/>
        <v>9.1944853333333326E-2</v>
      </c>
      <c r="BQ75" s="177">
        <f t="shared" si="147"/>
        <v>3.6356213333333331E-2</v>
      </c>
      <c r="BR75" s="538"/>
      <c r="BT75" s="469">
        <f t="shared" si="165"/>
        <v>128.30106666666666</v>
      </c>
      <c r="BU75" s="538">
        <f t="shared" si="148"/>
        <v>5.5999999999999991E-3</v>
      </c>
      <c r="BV75" s="538">
        <f t="shared" si="149"/>
        <v>3.0207999999999993E-3</v>
      </c>
      <c r="BW75" s="538">
        <f t="shared" si="150"/>
        <v>1.2586666666666666E-3</v>
      </c>
      <c r="BX75" s="538">
        <f t="shared" si="151"/>
        <v>0</v>
      </c>
      <c r="BY75" s="538">
        <f t="shared" si="152"/>
        <v>1.1073754890051553E-2</v>
      </c>
      <c r="BZ75" s="538">
        <f t="shared" si="166"/>
        <v>9.8794666666666645E-3</v>
      </c>
      <c r="CA75" s="641">
        <f t="shared" si="153"/>
        <v>1.1199999999999998E-2</v>
      </c>
      <c r="CB75" s="469">
        <f t="shared" si="167"/>
        <v>22.273754890051553</v>
      </c>
      <c r="CC75" s="177">
        <f t="shared" si="168"/>
        <v>0.30584444103467445</v>
      </c>
      <c r="CD75" s="5">
        <f t="shared" si="169"/>
        <v>3.3599999999999994</v>
      </c>
      <c r="CE75" s="177">
        <f t="shared" si="170"/>
        <v>0.91656917090885859</v>
      </c>
      <c r="CF75" s="5">
        <f t="shared" si="171"/>
        <v>91.656917090885855</v>
      </c>
      <c r="CG75">
        <f t="shared" si="172"/>
        <v>69.999999999999986</v>
      </c>
      <c r="CI75" s="571">
        <f t="shared" si="154"/>
        <v>-50</v>
      </c>
      <c r="CJ75">
        <f t="shared" si="155"/>
        <v>-50</v>
      </c>
    </row>
    <row r="76" spans="5:88" x14ac:dyDescent="0.25">
      <c r="E76" s="174">
        <v>71</v>
      </c>
      <c r="F76" s="221">
        <f t="shared" si="173"/>
        <v>0.14199999999999999</v>
      </c>
      <c r="G76" s="221">
        <f t="shared" si="156"/>
        <v>7.0999999999999994E-2</v>
      </c>
      <c r="H76" s="221">
        <f t="shared" si="105"/>
        <v>2.2719999999999998</v>
      </c>
      <c r="I76" s="221">
        <f t="shared" si="174"/>
        <v>1.1359999999999999</v>
      </c>
      <c r="J76" s="551">
        <f t="shared" si="106"/>
        <v>32</v>
      </c>
      <c r="K76" s="451">
        <f t="shared" si="107"/>
        <v>19.584</v>
      </c>
      <c r="L76" s="451">
        <f t="shared" si="108"/>
        <v>51.584000000000003</v>
      </c>
      <c r="M76" s="451"/>
      <c r="N76" s="221">
        <f t="shared" si="109"/>
        <v>0.37965260545905705</v>
      </c>
      <c r="O76" s="176">
        <f t="shared" si="157"/>
        <v>5.4669975186104214</v>
      </c>
      <c r="P76" s="176">
        <f t="shared" si="110"/>
        <v>2.7334987593052107</v>
      </c>
      <c r="Q76" s="221">
        <f t="shared" si="111"/>
        <v>0.34168734491315134</v>
      </c>
      <c r="R76" s="221">
        <f t="shared" si="112"/>
        <v>0.34168734491315134</v>
      </c>
      <c r="S76" s="451">
        <f t="shared" si="113"/>
        <v>16</v>
      </c>
      <c r="T76" s="221">
        <f t="shared" si="114"/>
        <v>0.62337690631808274</v>
      </c>
      <c r="U76" s="221">
        <f t="shared" si="115"/>
        <v>0.58441584967320259</v>
      </c>
      <c r="V76" s="221">
        <f t="shared" si="116"/>
        <v>0.95492785894314158</v>
      </c>
      <c r="W76" s="201">
        <f t="shared" si="117"/>
        <v>350</v>
      </c>
      <c r="X76" s="451">
        <f t="shared" si="158"/>
        <v>350</v>
      </c>
      <c r="Z76" s="221">
        <f t="shared" si="118"/>
        <v>1.1570365118752215</v>
      </c>
      <c r="AA76" s="177">
        <f t="shared" si="119"/>
        <v>1.7724211272598367</v>
      </c>
      <c r="AB76" s="177">
        <f t="shared" si="120"/>
        <v>0.2871058342122137</v>
      </c>
      <c r="AC76" s="177"/>
      <c r="AD76" s="177">
        <f t="shared" si="121"/>
        <v>0.4595588235294118</v>
      </c>
      <c r="AE76" s="555">
        <f t="shared" si="122"/>
        <v>2574.9333333333338</v>
      </c>
      <c r="AF76" s="538">
        <f t="shared" si="123"/>
        <v>1.9301470588235291E-2</v>
      </c>
      <c r="AH76" s="177">
        <f t="shared" si="124"/>
        <v>0.80569402203495155</v>
      </c>
      <c r="AI76" s="177">
        <f t="shared" si="125"/>
        <v>0.80569402203495155</v>
      </c>
      <c r="AJ76" s="177">
        <f t="shared" si="126"/>
        <v>1.5745881644703343</v>
      </c>
      <c r="AL76" s="555">
        <f t="shared" si="127"/>
        <v>142</v>
      </c>
      <c r="AM76" s="469">
        <f t="shared" si="128"/>
        <v>350</v>
      </c>
      <c r="AO76">
        <f t="shared" si="159"/>
        <v>142</v>
      </c>
      <c r="AP76">
        <f t="shared" si="129"/>
        <v>350</v>
      </c>
      <c r="AR76" s="5">
        <f t="shared" si="160"/>
        <v>2.8571428571428572</v>
      </c>
      <c r="AS76" s="5">
        <f t="shared" si="130"/>
        <v>0.75533814565776713</v>
      </c>
      <c r="AT76" s="5">
        <f t="shared" si="161"/>
        <v>2.10180471148509</v>
      </c>
      <c r="AU76" s="177">
        <f t="shared" si="162"/>
        <v>0.26436835098021849</v>
      </c>
      <c r="AW76" s="5">
        <f t="shared" si="131"/>
        <v>0.80504166666666677</v>
      </c>
      <c r="AX76" s="5">
        <f t="shared" si="132"/>
        <v>1.0753144066666662</v>
      </c>
      <c r="AY76" s="5">
        <f t="shared" si="133"/>
        <v>0.20126041666666669</v>
      </c>
      <c r="AZ76" s="5">
        <f t="shared" si="134"/>
        <v>0.87985728030303012</v>
      </c>
      <c r="BA76" s="5">
        <f t="shared" si="135"/>
        <v>0.15544597345358477</v>
      </c>
      <c r="BB76" s="469">
        <f t="shared" si="136"/>
        <v>25.226355752573564</v>
      </c>
      <c r="BC76" s="5"/>
      <c r="BD76" s="177">
        <f t="shared" si="163"/>
        <v>0.23917415321159088</v>
      </c>
      <c r="BE76" s="177">
        <f t="shared" si="137"/>
        <v>0.31917561492467006</v>
      </c>
      <c r="BF76" s="177">
        <f t="shared" si="138"/>
        <v>0.15958780746233503</v>
      </c>
      <c r="BG76" s="177"/>
      <c r="BH76" s="538">
        <f t="shared" si="139"/>
        <v>2.0021496447568541E-2</v>
      </c>
      <c r="BI76" s="538">
        <f t="shared" si="140"/>
        <v>7.2731610757139145E-2</v>
      </c>
      <c r="BJ76" s="538">
        <f t="shared" si="141"/>
        <v>4.3749999999999995E-3</v>
      </c>
      <c r="BK76" s="538">
        <f t="shared" si="142"/>
        <v>4.6565908480000008E-2</v>
      </c>
      <c r="BL76">
        <f t="shared" si="143"/>
        <v>9.2800000000000001E-3</v>
      </c>
      <c r="BM76">
        <f t="shared" si="144"/>
        <v>2.3625000000000002E-5</v>
      </c>
      <c r="BN76">
        <f t="shared" si="145"/>
        <v>0.15627782770199466</v>
      </c>
      <c r="BO76" s="469">
        <f t="shared" si="164"/>
        <v>156.27782770199465</v>
      </c>
      <c r="BP76" s="177">
        <f t="shared" si="146"/>
        <v>9.3159513948090758E-2</v>
      </c>
      <c r="BQ76" s="177">
        <f t="shared" si="147"/>
        <v>3.685087848702269E-2</v>
      </c>
      <c r="BR76" s="538"/>
      <c r="BT76" s="469">
        <f t="shared" si="165"/>
        <v>130.01039243511346</v>
      </c>
      <c r="BU76" s="538">
        <f t="shared" si="148"/>
        <v>5.7204275564481551E-3</v>
      </c>
      <c r="BV76" s="538">
        <f t="shared" si="149"/>
        <v>3.0561921948762381E-3</v>
      </c>
      <c r="BW76" s="538">
        <f t="shared" si="150"/>
        <v>1.2734134145317658E-3</v>
      </c>
      <c r="BX76" s="538">
        <f t="shared" si="151"/>
        <v>0</v>
      </c>
      <c r="BY76" s="538">
        <f t="shared" si="152"/>
        <v>1.1265094311474644E-2</v>
      </c>
      <c r="BZ76" s="538">
        <f t="shared" si="166"/>
        <v>1.0050033165856159E-2</v>
      </c>
      <c r="CA76" s="641">
        <f t="shared" si="153"/>
        <v>1.1359999999999999E-2</v>
      </c>
      <c r="CB76" s="469">
        <f t="shared" si="167"/>
        <v>22.625094311474644</v>
      </c>
      <c r="CC76" s="177">
        <f t="shared" si="168"/>
        <v>0.30891331444858272</v>
      </c>
      <c r="CD76" s="5">
        <f t="shared" si="169"/>
        <v>3.4079999999999995</v>
      </c>
      <c r="CE76" s="177">
        <f t="shared" si="170"/>
        <v>0.9168898254237573</v>
      </c>
      <c r="CF76" s="5">
        <f t="shared" si="171"/>
        <v>91.688982542375726</v>
      </c>
      <c r="CG76">
        <f t="shared" si="172"/>
        <v>70.999999999999986</v>
      </c>
      <c r="CI76" s="571">
        <f t="shared" si="154"/>
        <v>-50</v>
      </c>
      <c r="CJ76">
        <f t="shared" si="155"/>
        <v>-50</v>
      </c>
    </row>
    <row r="77" spans="5:88" x14ac:dyDescent="0.25">
      <c r="E77" s="174">
        <v>72</v>
      </c>
      <c r="F77" s="221">
        <f t="shared" si="173"/>
        <v>0.14399999999999999</v>
      </c>
      <c r="G77" s="221">
        <f t="shared" si="156"/>
        <v>7.1999999999999995E-2</v>
      </c>
      <c r="H77" s="221">
        <f t="shared" si="105"/>
        <v>2.3039999999999998</v>
      </c>
      <c r="I77" s="221">
        <f t="shared" si="174"/>
        <v>1.1519999999999999</v>
      </c>
      <c r="J77" s="551">
        <f t="shared" si="106"/>
        <v>32</v>
      </c>
      <c r="K77" s="451">
        <f t="shared" si="107"/>
        <v>19.584</v>
      </c>
      <c r="L77" s="451">
        <f t="shared" si="108"/>
        <v>51.584000000000003</v>
      </c>
      <c r="M77" s="451"/>
      <c r="N77" s="221">
        <f t="shared" si="109"/>
        <v>0.37965260545905705</v>
      </c>
      <c r="O77" s="176">
        <f t="shared" si="157"/>
        <v>5.4669975186104214</v>
      </c>
      <c r="P77" s="176">
        <f t="shared" si="110"/>
        <v>2.7334987593052107</v>
      </c>
      <c r="Q77" s="221">
        <f t="shared" si="111"/>
        <v>0.34168734491315134</v>
      </c>
      <c r="R77" s="221">
        <f t="shared" si="112"/>
        <v>0.34168734491315134</v>
      </c>
      <c r="S77" s="451">
        <f t="shared" si="113"/>
        <v>16</v>
      </c>
      <c r="T77" s="221">
        <f t="shared" si="114"/>
        <v>0.63215686274509797</v>
      </c>
      <c r="U77" s="221">
        <f t="shared" si="115"/>
        <v>0.5926470588235293</v>
      </c>
      <c r="V77" s="221">
        <f t="shared" si="116"/>
        <v>0.9683775470972702</v>
      </c>
      <c r="W77" s="201">
        <f t="shared" si="117"/>
        <v>350</v>
      </c>
      <c r="X77" s="451">
        <f t="shared" si="158"/>
        <v>350</v>
      </c>
      <c r="Z77" s="221">
        <f t="shared" si="118"/>
        <v>1.1570365118752215</v>
      </c>
      <c r="AA77" s="177">
        <f t="shared" si="119"/>
        <v>1.7724211272598367</v>
      </c>
      <c r="AB77" s="177">
        <f t="shared" si="120"/>
        <v>0.2871058342122137</v>
      </c>
      <c r="AC77" s="177"/>
      <c r="AD77" s="177">
        <f t="shared" si="121"/>
        <v>0.4595588235294118</v>
      </c>
      <c r="AE77" s="555">
        <f t="shared" si="122"/>
        <v>2611.1999999999998</v>
      </c>
      <c r="AF77" s="538">
        <f t="shared" si="123"/>
        <v>1.9301470588235291E-2</v>
      </c>
      <c r="AH77" s="177">
        <f t="shared" si="124"/>
        <v>0.81134808453937579</v>
      </c>
      <c r="AI77" s="177">
        <f t="shared" si="125"/>
        <v>0.81134808453937579</v>
      </c>
      <c r="AJ77" s="177">
        <f t="shared" si="126"/>
        <v>1.5787763589180561</v>
      </c>
      <c r="AL77" s="555">
        <f t="shared" si="127"/>
        <v>144</v>
      </c>
      <c r="AM77" s="469">
        <f t="shared" si="128"/>
        <v>350</v>
      </c>
      <c r="AO77">
        <f t="shared" si="159"/>
        <v>144</v>
      </c>
      <c r="AP77">
        <f t="shared" si="129"/>
        <v>350</v>
      </c>
      <c r="AR77" s="5">
        <f t="shared" si="160"/>
        <v>2.8571428571428572</v>
      </c>
      <c r="AS77" s="5">
        <f t="shared" si="130"/>
        <v>0.76063882925566484</v>
      </c>
      <c r="AT77" s="5">
        <f t="shared" si="161"/>
        <v>2.0965040278871925</v>
      </c>
      <c r="AU77" s="177">
        <f t="shared" si="162"/>
        <v>0.26622359023948267</v>
      </c>
      <c r="AW77" s="5">
        <f t="shared" si="131"/>
        <v>0.80504166666666677</v>
      </c>
      <c r="AX77" s="5">
        <f t="shared" si="132"/>
        <v>1.0997337599999997</v>
      </c>
      <c r="AY77" s="5">
        <f t="shared" si="133"/>
        <v>0.20126041666666669</v>
      </c>
      <c r="AZ77" s="5">
        <f t="shared" si="134"/>
        <v>0.9027883636363635</v>
      </c>
      <c r="BA77" s="5">
        <f t="shared" si="135"/>
        <v>0.1572378020915394</v>
      </c>
      <c r="BB77" s="469">
        <f t="shared" si="136"/>
        <v>25.518048334646306</v>
      </c>
      <c r="BC77" s="5"/>
      <c r="BD77" s="177">
        <f t="shared" si="163"/>
        <v>0.24169621860268117</v>
      </c>
      <c r="BE77" s="177">
        <f t="shared" si="137"/>
        <v>0.32100991570154219</v>
      </c>
      <c r="BF77" s="177">
        <f t="shared" si="138"/>
        <v>0.1605049578507711</v>
      </c>
      <c r="BG77" s="177"/>
      <c r="BH77" s="538">
        <f t="shared" si="139"/>
        <v>2.0445971730392264E-2</v>
      </c>
      <c r="BI77" s="538">
        <f t="shared" si="140"/>
        <v>7.3242014287538543E-2</v>
      </c>
      <c r="BJ77" s="538">
        <f t="shared" si="141"/>
        <v>4.3749999999999995E-3</v>
      </c>
      <c r="BK77" s="538">
        <f t="shared" si="142"/>
        <v>4.6565908480000008E-2</v>
      </c>
      <c r="BL77">
        <f t="shared" si="143"/>
        <v>9.2800000000000001E-3</v>
      </c>
      <c r="BM77">
        <f t="shared" si="144"/>
        <v>2.3625000000000002E-5</v>
      </c>
      <c r="BN77">
        <f t="shared" si="145"/>
        <v>0.15728605299416143</v>
      </c>
      <c r="BO77" s="469">
        <f t="shared" si="164"/>
        <v>157.28605299416142</v>
      </c>
      <c r="BP77" s="177">
        <f t="shared" si="146"/>
        <v>9.4372093803867699E-2</v>
      </c>
      <c r="BQ77" s="177">
        <f t="shared" si="147"/>
        <v>3.7345023450966922E-2</v>
      </c>
      <c r="BR77" s="538"/>
      <c r="BT77" s="469">
        <f t="shared" si="165"/>
        <v>131.71711725483462</v>
      </c>
      <c r="BU77" s="538">
        <f t="shared" si="148"/>
        <v>5.8417062086835048E-3</v>
      </c>
      <c r="BV77" s="538">
        <f t="shared" si="149"/>
        <v>3.0914209793613365E-3</v>
      </c>
      <c r="BW77" s="538">
        <f t="shared" si="150"/>
        <v>1.2880920747338903E-3</v>
      </c>
      <c r="BX77" s="538">
        <f t="shared" si="151"/>
        <v>0</v>
      </c>
      <c r="BY77" s="538">
        <f t="shared" si="152"/>
        <v>1.1457134044647651E-2</v>
      </c>
      <c r="BZ77" s="538">
        <f t="shared" si="166"/>
        <v>1.0221219262778731E-2</v>
      </c>
      <c r="CA77" s="641">
        <f t="shared" si="153"/>
        <v>1.1519999999999999E-2</v>
      </c>
      <c r="CB77" s="469">
        <f t="shared" si="167"/>
        <v>22.977134044647649</v>
      </c>
      <c r="CC77" s="177">
        <f t="shared" si="168"/>
        <v>0.31198030429364365</v>
      </c>
      <c r="CD77" s="5">
        <f t="shared" si="169"/>
        <v>3.4559999999999995</v>
      </c>
      <c r="CE77" s="177">
        <f t="shared" si="170"/>
        <v>0.91720224653559368</v>
      </c>
      <c r="CF77" s="5">
        <f t="shared" si="171"/>
        <v>91.72022465355937</v>
      </c>
      <c r="CG77">
        <f t="shared" si="172"/>
        <v>71.999999999999986</v>
      </c>
      <c r="CI77" s="571">
        <f t="shared" si="154"/>
        <v>-50</v>
      </c>
      <c r="CJ77">
        <f t="shared" si="155"/>
        <v>-50</v>
      </c>
    </row>
    <row r="78" spans="5:88" x14ac:dyDescent="0.25">
      <c r="E78" s="174">
        <v>73</v>
      </c>
      <c r="F78" s="221">
        <f t="shared" si="173"/>
        <v>0.14599999999999999</v>
      </c>
      <c r="G78" s="221">
        <f t="shared" si="156"/>
        <v>7.2999999999999995E-2</v>
      </c>
      <c r="H78" s="221">
        <f t="shared" si="105"/>
        <v>2.3359999999999999</v>
      </c>
      <c r="I78" s="221">
        <f t="shared" si="174"/>
        <v>1.1679999999999999</v>
      </c>
      <c r="J78" s="551">
        <f t="shared" si="106"/>
        <v>32</v>
      </c>
      <c r="K78" s="451">
        <f t="shared" si="107"/>
        <v>19.584</v>
      </c>
      <c r="L78" s="451">
        <f t="shared" si="108"/>
        <v>51.584000000000003</v>
      </c>
      <c r="M78" s="451"/>
      <c r="N78" s="221">
        <f t="shared" si="109"/>
        <v>0.37965260545905705</v>
      </c>
      <c r="O78" s="176">
        <f t="shared" si="157"/>
        <v>5.4669975186104214</v>
      </c>
      <c r="P78" s="176">
        <f t="shared" si="110"/>
        <v>2.7334987593052107</v>
      </c>
      <c r="Q78" s="221">
        <f t="shared" si="111"/>
        <v>0.34168734491315134</v>
      </c>
      <c r="R78" s="221">
        <f t="shared" si="112"/>
        <v>0.34168734491315134</v>
      </c>
      <c r="S78" s="451">
        <f t="shared" si="113"/>
        <v>16</v>
      </c>
      <c r="T78" s="221">
        <f t="shared" si="114"/>
        <v>0.64093681917211331</v>
      </c>
      <c r="U78" s="221">
        <f t="shared" si="115"/>
        <v>0.60087826797385624</v>
      </c>
      <c r="V78" s="221">
        <f t="shared" si="116"/>
        <v>0.98182723525139903</v>
      </c>
      <c r="W78" s="201">
        <f t="shared" si="117"/>
        <v>350</v>
      </c>
      <c r="X78" s="451">
        <f t="shared" si="158"/>
        <v>350</v>
      </c>
      <c r="Z78" s="221">
        <f t="shared" si="118"/>
        <v>1.1570365118752215</v>
      </c>
      <c r="AA78" s="177">
        <f t="shared" si="119"/>
        <v>1.7724211272598367</v>
      </c>
      <c r="AB78" s="177">
        <f t="shared" si="120"/>
        <v>0.2871058342122137</v>
      </c>
      <c r="AC78" s="177"/>
      <c r="AD78" s="177">
        <f t="shared" si="121"/>
        <v>0.4595588235294118</v>
      </c>
      <c r="AE78" s="555">
        <f t="shared" si="122"/>
        <v>2647.4666666666667</v>
      </c>
      <c r="AF78" s="538">
        <f t="shared" si="123"/>
        <v>1.9301470588235291E-2</v>
      </c>
      <c r="AH78" s="177">
        <f t="shared" si="124"/>
        <v>0.81696301717309783</v>
      </c>
      <c r="AI78" s="177">
        <f t="shared" si="125"/>
        <v>0.81696301717309783</v>
      </c>
      <c r="AJ78" s="177">
        <f t="shared" si="126"/>
        <v>1.5829355682763688</v>
      </c>
      <c r="AL78" s="555">
        <f t="shared" si="127"/>
        <v>146</v>
      </c>
      <c r="AM78" s="469">
        <f t="shared" si="128"/>
        <v>350</v>
      </c>
      <c r="AO78">
        <f t="shared" si="159"/>
        <v>146</v>
      </c>
      <c r="AP78">
        <f t="shared" si="129"/>
        <v>350</v>
      </c>
      <c r="AR78" s="5">
        <f t="shared" si="160"/>
        <v>2.8571428571428572</v>
      </c>
      <c r="AS78" s="5">
        <f t="shared" si="130"/>
        <v>0.76590282859977921</v>
      </c>
      <c r="AT78" s="5">
        <f t="shared" si="161"/>
        <v>2.0912400285430781</v>
      </c>
      <c r="AU78" s="177">
        <f t="shared" si="162"/>
        <v>0.26806599000992271</v>
      </c>
      <c r="AW78" s="5">
        <f t="shared" si="131"/>
        <v>0.80504166666666677</v>
      </c>
      <c r="AX78" s="5">
        <f t="shared" si="132"/>
        <v>1.1244107266666663</v>
      </c>
      <c r="AY78" s="5">
        <f t="shared" si="133"/>
        <v>0.20126041666666669</v>
      </c>
      <c r="AZ78" s="5">
        <f t="shared" si="134"/>
        <v>0.92601218939393926</v>
      </c>
      <c r="BA78" s="5">
        <f t="shared" si="135"/>
        <v>0.15902137717046322</v>
      </c>
      <c r="BB78" s="469">
        <f t="shared" si="136"/>
        <v>25.808420347274115</v>
      </c>
      <c r="BC78" s="5"/>
      <c r="BD78" s="177">
        <f t="shared" si="163"/>
        <v>0.24420954169244932</v>
      </c>
      <c r="BE78" s="177">
        <f t="shared" si="137"/>
        <v>0.3228254168160164</v>
      </c>
      <c r="BF78" s="177">
        <f t="shared" si="138"/>
        <v>0.1614127084080082</v>
      </c>
      <c r="BG78" s="177"/>
      <c r="BH78" s="538">
        <f t="shared" si="139"/>
        <v>2.087340508877265E-2</v>
      </c>
      <c r="BI78" s="538">
        <f t="shared" si="140"/>
        <v>7.3748885486249888E-2</v>
      </c>
      <c r="BJ78" s="538">
        <f t="shared" si="141"/>
        <v>4.3749999999999995E-3</v>
      </c>
      <c r="BK78" s="538">
        <f t="shared" si="142"/>
        <v>4.6565908480000008E-2</v>
      </c>
      <c r="BL78">
        <f t="shared" si="143"/>
        <v>9.2800000000000001E-3</v>
      </c>
      <c r="BM78">
        <f t="shared" si="144"/>
        <v>2.3625000000000002E-5</v>
      </c>
      <c r="BN78">
        <f t="shared" si="145"/>
        <v>0.15829434794986669</v>
      </c>
      <c r="BO78" s="469">
        <f t="shared" si="164"/>
        <v>158.29434794986668</v>
      </c>
      <c r="BP78" s="177">
        <f t="shared" si="146"/>
        <v>9.5582607401610079E-2</v>
      </c>
      <c r="BQ78" s="177">
        <f t="shared" si="147"/>
        <v>3.7838651850402513E-2</v>
      </c>
      <c r="BR78" s="538"/>
      <c r="BT78" s="469">
        <f t="shared" si="165"/>
        <v>133.42125925201259</v>
      </c>
      <c r="BU78" s="538">
        <f t="shared" si="148"/>
        <v>5.9638300253636147E-3</v>
      </c>
      <c r="BV78" s="538">
        <f t="shared" si="149"/>
        <v>3.1264874922730416E-3</v>
      </c>
      <c r="BW78" s="538">
        <f t="shared" si="150"/>
        <v>1.3027031217804342E-3</v>
      </c>
      <c r="BX78" s="538">
        <f t="shared" si="151"/>
        <v>0</v>
      </c>
      <c r="BY78" s="538">
        <f t="shared" si="152"/>
        <v>1.1649869302715913E-2</v>
      </c>
      <c r="BZ78" s="538">
        <f t="shared" si="166"/>
        <v>1.039302063941709E-2</v>
      </c>
      <c r="CA78" s="641">
        <f t="shared" si="153"/>
        <v>1.1679999999999998E-2</v>
      </c>
      <c r="CB78" s="469">
        <f t="shared" si="167"/>
        <v>23.32986930271591</v>
      </c>
      <c r="CC78" s="177">
        <f t="shared" si="168"/>
        <v>0.31504547650459519</v>
      </c>
      <c r="CD78" s="5">
        <f t="shared" si="169"/>
        <v>3.5039999999999996</v>
      </c>
      <c r="CE78" s="177">
        <f t="shared" si="170"/>
        <v>0.91750674914901964</v>
      </c>
      <c r="CF78" s="5">
        <f t="shared" si="171"/>
        <v>91.750674914901964</v>
      </c>
      <c r="CG78">
        <f t="shared" si="172"/>
        <v>72.999999999999986</v>
      </c>
      <c r="CI78" s="571">
        <f t="shared" si="154"/>
        <v>-50</v>
      </c>
      <c r="CJ78">
        <f t="shared" si="155"/>
        <v>-50</v>
      </c>
    </row>
    <row r="79" spans="5:88" x14ac:dyDescent="0.25">
      <c r="E79" s="174">
        <v>74</v>
      </c>
      <c r="F79" s="221">
        <f t="shared" si="173"/>
        <v>0.14799999999999999</v>
      </c>
      <c r="G79" s="221">
        <f t="shared" si="156"/>
        <v>7.3999999999999996E-2</v>
      </c>
      <c r="H79" s="221">
        <f t="shared" si="105"/>
        <v>2.3679999999999999</v>
      </c>
      <c r="I79" s="221">
        <f t="shared" si="174"/>
        <v>1.1839999999999999</v>
      </c>
      <c r="J79" s="551">
        <f t="shared" si="106"/>
        <v>32</v>
      </c>
      <c r="K79" s="451">
        <f t="shared" si="107"/>
        <v>19.584</v>
      </c>
      <c r="L79" s="451">
        <f t="shared" si="108"/>
        <v>51.584000000000003</v>
      </c>
      <c r="M79" s="451"/>
      <c r="N79" s="221">
        <f t="shared" si="109"/>
        <v>0.37965260545905705</v>
      </c>
      <c r="O79" s="176">
        <f t="shared" si="157"/>
        <v>5.4669975186104214</v>
      </c>
      <c r="P79" s="176">
        <f t="shared" si="110"/>
        <v>2.7334987593052107</v>
      </c>
      <c r="Q79" s="221">
        <f t="shared" si="111"/>
        <v>0.34168734491315134</v>
      </c>
      <c r="R79" s="221">
        <f t="shared" si="112"/>
        <v>0.34168734491315134</v>
      </c>
      <c r="S79" s="451">
        <f t="shared" si="113"/>
        <v>16</v>
      </c>
      <c r="T79" s="221">
        <f t="shared" si="114"/>
        <v>0.64971677559912855</v>
      </c>
      <c r="U79" s="221">
        <f t="shared" si="115"/>
        <v>0.60910947712418306</v>
      </c>
      <c r="V79" s="221">
        <f t="shared" si="116"/>
        <v>0.99527692340552787</v>
      </c>
      <c r="W79" s="201">
        <f t="shared" si="117"/>
        <v>350</v>
      </c>
      <c r="X79" s="451">
        <f t="shared" si="158"/>
        <v>350</v>
      </c>
      <c r="Z79" s="221">
        <f t="shared" si="118"/>
        <v>1.1570365118752215</v>
      </c>
      <c r="AA79" s="177">
        <f t="shared" si="119"/>
        <v>1.7724211272598367</v>
      </c>
      <c r="AB79" s="177">
        <f t="shared" si="120"/>
        <v>0.2871058342122137</v>
      </c>
      <c r="AC79" s="177"/>
      <c r="AD79" s="177">
        <f t="shared" si="121"/>
        <v>0.4595588235294118</v>
      </c>
      <c r="AE79" s="555">
        <f t="shared" si="122"/>
        <v>2683.7333333333336</v>
      </c>
      <c r="AF79" s="538">
        <f t="shared" si="123"/>
        <v>1.9301470588235291E-2</v>
      </c>
      <c r="AH79" s="177">
        <f t="shared" si="124"/>
        <v>0.82253962127755798</v>
      </c>
      <c r="AI79" s="177">
        <f t="shared" si="125"/>
        <v>0.82253962127755798</v>
      </c>
      <c r="AJ79" s="177">
        <f t="shared" si="126"/>
        <v>1.5870663861315244</v>
      </c>
      <c r="AL79" s="555">
        <f t="shared" si="127"/>
        <v>148</v>
      </c>
      <c r="AM79" s="469">
        <f t="shared" si="128"/>
        <v>350</v>
      </c>
      <c r="AO79">
        <f t="shared" si="159"/>
        <v>148</v>
      </c>
      <c r="AP79">
        <f t="shared" si="129"/>
        <v>350</v>
      </c>
      <c r="AR79" s="5">
        <f t="shared" si="160"/>
        <v>2.8571428571428572</v>
      </c>
      <c r="AS79" s="5">
        <f t="shared" si="130"/>
        <v>0.77113089494771059</v>
      </c>
      <c r="AT79" s="5">
        <f t="shared" si="161"/>
        <v>2.0860119621951467</v>
      </c>
      <c r="AU79" s="177">
        <f t="shared" si="162"/>
        <v>0.2698958132316987</v>
      </c>
      <c r="AW79" s="5">
        <f t="shared" si="131"/>
        <v>0.80504166666666677</v>
      </c>
      <c r="AX79" s="5">
        <f t="shared" si="132"/>
        <v>1.1493453066666663</v>
      </c>
      <c r="AY79" s="5">
        <f t="shared" si="133"/>
        <v>0.20126041666666669</v>
      </c>
      <c r="AZ79" s="5">
        <f t="shared" si="134"/>
        <v>0.94952875757575739</v>
      </c>
      <c r="BA79" s="5">
        <f t="shared" si="135"/>
        <v>0.16079675541920921</v>
      </c>
      <c r="BB79" s="469">
        <f t="shared" si="136"/>
        <v>26.097480867073475</v>
      </c>
      <c r="BC79" s="5"/>
      <c r="BD79" s="177">
        <f t="shared" si="163"/>
        <v>0.2467142719311943</v>
      </c>
      <c r="BE79" s="177">
        <f t="shared" si="137"/>
        <v>0.32462249095146339</v>
      </c>
      <c r="BF79" s="177">
        <f t="shared" si="138"/>
        <v>0.1623112454757317</v>
      </c>
      <c r="BG79" s="177"/>
      <c r="BH79" s="538">
        <f t="shared" si="139"/>
        <v>2.1303776191088749E-2</v>
      </c>
      <c r="BI79" s="538">
        <f t="shared" si="140"/>
        <v>7.4252296691967729E-2</v>
      </c>
      <c r="BJ79" s="538">
        <f t="shared" si="141"/>
        <v>4.3749999999999995E-3</v>
      </c>
      <c r="BK79" s="538">
        <f t="shared" si="142"/>
        <v>4.6565908480000008E-2</v>
      </c>
      <c r="BL79">
        <f t="shared" si="143"/>
        <v>9.2800000000000001E-3</v>
      </c>
      <c r="BM79">
        <f t="shared" si="144"/>
        <v>2.3625000000000002E-5</v>
      </c>
      <c r="BN79">
        <f t="shared" si="145"/>
        <v>0.1593027630998122</v>
      </c>
      <c r="BO79" s="469">
        <f t="shared" si="164"/>
        <v>159.30276309981221</v>
      </c>
      <c r="BP79" s="177">
        <f t="shared" si="146"/>
        <v>9.6791068943245587E-2</v>
      </c>
      <c r="BQ79" s="177">
        <f t="shared" si="147"/>
        <v>3.8331767235811394E-2</v>
      </c>
      <c r="BR79" s="538"/>
      <c r="BT79" s="469">
        <f t="shared" si="165"/>
        <v>135.12283617905697</v>
      </c>
      <c r="BU79" s="538">
        <f t="shared" si="148"/>
        <v>6.0867931974539291E-3</v>
      </c>
      <c r="BV79" s="538">
        <f t="shared" si="149"/>
        <v>3.161392848945988E-3</v>
      </c>
      <c r="BW79" s="538">
        <f t="shared" si="150"/>
        <v>1.3172470203941617E-3</v>
      </c>
      <c r="BX79" s="538">
        <f t="shared" si="151"/>
        <v>0</v>
      </c>
      <c r="BY79" s="538">
        <f t="shared" si="152"/>
        <v>1.184329539839513E-2</v>
      </c>
      <c r="BZ79" s="538">
        <f t="shared" si="166"/>
        <v>1.056543306679408E-2</v>
      </c>
      <c r="CA79" s="641">
        <f t="shared" si="153"/>
        <v>1.1839999999999998E-2</v>
      </c>
      <c r="CB79" s="469">
        <f t="shared" si="167"/>
        <v>23.683295398395128</v>
      </c>
      <c r="CC79" s="177">
        <f t="shared" si="168"/>
        <v>0.31810889467726433</v>
      </c>
      <c r="CD79" s="5">
        <f t="shared" si="169"/>
        <v>3.5519999999999996</v>
      </c>
      <c r="CE79" s="177">
        <f t="shared" si="170"/>
        <v>0.91780363205935267</v>
      </c>
      <c r="CF79" s="5">
        <f t="shared" si="171"/>
        <v>91.780363205935274</v>
      </c>
      <c r="CG79">
        <f t="shared" si="172"/>
        <v>73.999999999999986</v>
      </c>
      <c r="CI79" s="571">
        <f t="shared" si="154"/>
        <v>-50</v>
      </c>
      <c r="CJ79">
        <f t="shared" si="155"/>
        <v>-50</v>
      </c>
    </row>
    <row r="80" spans="5:88" x14ac:dyDescent="0.25">
      <c r="E80" s="174">
        <v>75</v>
      </c>
      <c r="F80" s="221">
        <f t="shared" si="173"/>
        <v>0.15000000000000002</v>
      </c>
      <c r="G80" s="221">
        <f t="shared" si="156"/>
        <v>7.5000000000000011E-2</v>
      </c>
      <c r="H80" s="221">
        <f t="shared" si="105"/>
        <v>2.4000000000000004</v>
      </c>
      <c r="I80" s="221">
        <f t="shared" si="174"/>
        <v>1.2000000000000002</v>
      </c>
      <c r="J80" s="551">
        <f t="shared" si="106"/>
        <v>32</v>
      </c>
      <c r="K80" s="451">
        <f t="shared" si="107"/>
        <v>19.584</v>
      </c>
      <c r="L80" s="451">
        <f t="shared" si="108"/>
        <v>51.584000000000003</v>
      </c>
      <c r="M80" s="451"/>
      <c r="N80" s="221">
        <f t="shared" si="109"/>
        <v>0.37965260545905705</v>
      </c>
      <c r="O80" s="176">
        <f t="shared" si="157"/>
        <v>5.4669975186104214</v>
      </c>
      <c r="P80" s="176">
        <f t="shared" si="110"/>
        <v>2.7334987593052107</v>
      </c>
      <c r="Q80" s="221">
        <f t="shared" si="111"/>
        <v>0.34168734491315134</v>
      </c>
      <c r="R80" s="221">
        <f t="shared" si="112"/>
        <v>0.34168734491315134</v>
      </c>
      <c r="S80" s="451">
        <f t="shared" si="113"/>
        <v>16</v>
      </c>
      <c r="T80" s="221">
        <f t="shared" si="114"/>
        <v>0.65849673202614389</v>
      </c>
      <c r="U80" s="221">
        <f t="shared" si="115"/>
        <v>0.61734068627450989</v>
      </c>
      <c r="V80" s="221">
        <f t="shared" si="116"/>
        <v>1.0087266115596567</v>
      </c>
      <c r="W80" s="201">
        <f t="shared" si="117"/>
        <v>350</v>
      </c>
      <c r="X80" s="451">
        <f t="shared" si="158"/>
        <v>350</v>
      </c>
      <c r="Z80" s="221">
        <f t="shared" si="118"/>
        <v>1.1570365118752215</v>
      </c>
      <c r="AA80" s="177">
        <f t="shared" si="119"/>
        <v>1.7724211272598367</v>
      </c>
      <c r="AB80" s="177">
        <f t="shared" si="120"/>
        <v>0.2871058342122137</v>
      </c>
      <c r="AC80" s="177"/>
      <c r="AD80" s="177">
        <f t="shared" si="121"/>
        <v>0.4595588235294118</v>
      </c>
      <c r="AE80" s="555">
        <f t="shared" si="122"/>
        <v>2720.0000000000009</v>
      </c>
      <c r="AF80" s="538">
        <f t="shared" si="123"/>
        <v>1.9301470588235291E-2</v>
      </c>
      <c r="AH80" s="177">
        <f t="shared" si="124"/>
        <v>0.82807867121082512</v>
      </c>
      <c r="AI80" s="177">
        <f t="shared" si="125"/>
        <v>0.82807867121082512</v>
      </c>
      <c r="AJ80" s="177">
        <f t="shared" si="126"/>
        <v>1.5911693860820928</v>
      </c>
      <c r="AL80" s="555">
        <f t="shared" si="127"/>
        <v>150.00000000000003</v>
      </c>
      <c r="AM80" s="469">
        <f t="shared" si="128"/>
        <v>350</v>
      </c>
      <c r="AO80">
        <f t="shared" si="159"/>
        <v>150.00000000000003</v>
      </c>
      <c r="AP80">
        <f t="shared" si="129"/>
        <v>350</v>
      </c>
      <c r="AR80" s="5">
        <f t="shared" si="160"/>
        <v>2.8571428571428572</v>
      </c>
      <c r="AS80" s="5">
        <f t="shared" si="130"/>
        <v>0.77632375426014855</v>
      </c>
      <c r="AT80" s="5">
        <f t="shared" si="161"/>
        <v>2.0808191028827085</v>
      </c>
      <c r="AU80" s="177">
        <f t="shared" si="162"/>
        <v>0.27171331399105197</v>
      </c>
      <c r="AW80" s="5">
        <f t="shared" si="131"/>
        <v>0.80504166666666677</v>
      </c>
      <c r="AX80" s="5">
        <f t="shared" si="132"/>
        <v>1.1745375</v>
      </c>
      <c r="AY80" s="5">
        <f t="shared" si="133"/>
        <v>0.20126041666666669</v>
      </c>
      <c r="AZ80" s="5">
        <f t="shared" si="134"/>
        <v>0.97333806818181812</v>
      </c>
      <c r="BA80" s="5">
        <f t="shared" si="135"/>
        <v>0.16256399241271163</v>
      </c>
      <c r="BB80" s="469">
        <f t="shared" si="136"/>
        <v>26.385238786033863</v>
      </c>
      <c r="BC80" s="5"/>
      <c r="BD80" s="177">
        <f t="shared" si="163"/>
        <v>0.24921055423238378</v>
      </c>
      <c r="BE80" s="177">
        <f t="shared" si="137"/>
        <v>0.32640149826187181</v>
      </c>
      <c r="BF80" s="177">
        <f t="shared" si="138"/>
        <v>0.16320074913093591</v>
      </c>
      <c r="BG80" s="177"/>
      <c r="BH80" s="538">
        <f t="shared" si="139"/>
        <v>2.1737065119284162E-2</v>
      </c>
      <c r="BI80" s="538">
        <f t="shared" si="140"/>
        <v>7.4752317807543614E-2</v>
      </c>
      <c r="BJ80" s="538">
        <f t="shared" si="141"/>
        <v>4.3749999999999995E-3</v>
      </c>
      <c r="BK80" s="538">
        <f t="shared" si="142"/>
        <v>4.6565908480000008E-2</v>
      </c>
      <c r="BL80">
        <f t="shared" si="143"/>
        <v>9.2800000000000001E-3</v>
      </c>
      <c r="BM80">
        <f t="shared" si="144"/>
        <v>2.3625000000000002E-5</v>
      </c>
      <c r="BN80">
        <f t="shared" si="145"/>
        <v>0.16031134701387559</v>
      </c>
      <c r="BO80" s="469">
        <f t="shared" si="164"/>
        <v>160.31134701387558</v>
      </c>
      <c r="BP80" s="177">
        <f t="shared" si="146"/>
        <v>9.7997492341821202E-2</v>
      </c>
      <c r="BQ80" s="177">
        <f t="shared" si="147"/>
        <v>3.8824373085455298E-2</v>
      </c>
      <c r="BR80" s="538"/>
      <c r="BT80" s="469">
        <f t="shared" si="165"/>
        <v>136.82186542727652</v>
      </c>
      <c r="BU80" s="538">
        <f t="shared" si="148"/>
        <v>6.2105900340811903E-3</v>
      </c>
      <c r="BV80" s="538">
        <f t="shared" si="149"/>
        <v>3.1961381420278412E-3</v>
      </c>
      <c r="BW80" s="538">
        <f t="shared" si="150"/>
        <v>1.331724225844934E-3</v>
      </c>
      <c r="BX80" s="538">
        <f t="shared" si="151"/>
        <v>0</v>
      </c>
      <c r="BY80" s="538">
        <f t="shared" si="152"/>
        <v>1.2037407740593664E-2</v>
      </c>
      <c r="BZ80" s="538">
        <f t="shared" si="166"/>
        <v>1.0738452401953966E-2</v>
      </c>
      <c r="CA80" s="641">
        <f t="shared" si="153"/>
        <v>1.2000000000000002E-2</v>
      </c>
      <c r="CB80" s="469">
        <f t="shared" si="167"/>
        <v>24.037407740593668</v>
      </c>
      <c r="CC80" s="177">
        <f t="shared" si="168"/>
        <v>0.32117062018174575</v>
      </c>
      <c r="CD80" s="5">
        <f t="shared" si="169"/>
        <v>3.6000000000000005</v>
      </c>
      <c r="CE80" s="177">
        <f t="shared" si="170"/>
        <v>0.91809317897856235</v>
      </c>
      <c r="CF80" s="5">
        <f t="shared" si="171"/>
        <v>91.809317897856232</v>
      </c>
      <c r="CG80">
        <f t="shared" si="172"/>
        <v>75.000000000000014</v>
      </c>
      <c r="CI80" s="571">
        <f t="shared" si="154"/>
        <v>-50</v>
      </c>
      <c r="CJ80">
        <f t="shared" si="155"/>
        <v>-50</v>
      </c>
    </row>
    <row r="81" spans="5:88" x14ac:dyDescent="0.25">
      <c r="E81" s="174">
        <v>76</v>
      </c>
      <c r="F81" s="221">
        <f t="shared" si="173"/>
        <v>0.15200000000000002</v>
      </c>
      <c r="G81" s="221">
        <f t="shared" si="156"/>
        <v>7.6000000000000012E-2</v>
      </c>
      <c r="H81" s="221">
        <f t="shared" si="105"/>
        <v>2.4320000000000004</v>
      </c>
      <c r="I81" s="221">
        <f t="shared" si="174"/>
        <v>1.2160000000000002</v>
      </c>
      <c r="J81" s="551">
        <f t="shared" si="106"/>
        <v>32</v>
      </c>
      <c r="K81" s="451">
        <f t="shared" si="107"/>
        <v>19.584</v>
      </c>
      <c r="L81" s="451">
        <f t="shared" si="108"/>
        <v>51.584000000000003</v>
      </c>
      <c r="M81" s="451"/>
      <c r="N81" s="221">
        <f t="shared" si="109"/>
        <v>0.37965260545905705</v>
      </c>
      <c r="O81" s="176">
        <f t="shared" si="157"/>
        <v>5.4669975186104214</v>
      </c>
      <c r="P81" s="176">
        <f t="shared" si="110"/>
        <v>2.7334987593052107</v>
      </c>
      <c r="Q81" s="221">
        <f t="shared" si="111"/>
        <v>0.34168734491315134</v>
      </c>
      <c r="R81" s="221">
        <f t="shared" si="112"/>
        <v>0.34168734491315134</v>
      </c>
      <c r="S81" s="451">
        <f t="shared" si="113"/>
        <v>16</v>
      </c>
      <c r="T81" s="221">
        <f t="shared" si="114"/>
        <v>0.66727668845315924</v>
      </c>
      <c r="U81" s="221">
        <f t="shared" si="115"/>
        <v>0.62557189542483682</v>
      </c>
      <c r="V81" s="221">
        <f t="shared" si="116"/>
        <v>1.0221762997137855</v>
      </c>
      <c r="W81" s="201">
        <f t="shared" si="117"/>
        <v>350</v>
      </c>
      <c r="X81" s="451">
        <f t="shared" si="158"/>
        <v>350</v>
      </c>
      <c r="Z81" s="221">
        <f t="shared" si="118"/>
        <v>1.1570365118752215</v>
      </c>
      <c r="AA81" s="177">
        <f t="shared" si="119"/>
        <v>1.7724211272598367</v>
      </c>
      <c r="AB81" s="177">
        <f t="shared" si="120"/>
        <v>0.2871058342122137</v>
      </c>
      <c r="AC81" s="177"/>
      <c r="AD81" s="177">
        <f t="shared" si="121"/>
        <v>0.4595588235294118</v>
      </c>
      <c r="AE81" s="555">
        <f t="shared" si="122"/>
        <v>2756.2666666666678</v>
      </c>
      <c r="AF81" s="538">
        <f t="shared" si="123"/>
        <v>1.9301470588235291E-2</v>
      </c>
      <c r="AH81" s="177">
        <f t="shared" si="124"/>
        <v>0.83358091560276437</v>
      </c>
      <c r="AI81" s="177">
        <f t="shared" si="125"/>
        <v>0.83358091560276437</v>
      </c>
      <c r="AJ81" s="177">
        <f t="shared" si="126"/>
        <v>1.5952451226687143</v>
      </c>
      <c r="AL81" s="555">
        <f t="shared" si="127"/>
        <v>152.00000000000003</v>
      </c>
      <c r="AM81" s="469">
        <f t="shared" si="128"/>
        <v>350</v>
      </c>
      <c r="AO81">
        <f t="shared" si="159"/>
        <v>152.00000000000003</v>
      </c>
      <c r="AP81">
        <f t="shared" si="129"/>
        <v>350</v>
      </c>
      <c r="AR81" s="5">
        <f t="shared" si="160"/>
        <v>2.8571428571428572</v>
      </c>
      <c r="AS81" s="5">
        <f t="shared" si="130"/>
        <v>0.78148210837759158</v>
      </c>
      <c r="AT81" s="5">
        <f t="shared" si="161"/>
        <v>2.0756607487652659</v>
      </c>
      <c r="AU81" s="177">
        <f t="shared" si="162"/>
        <v>0.27351873793215703</v>
      </c>
      <c r="AW81" s="5">
        <f t="shared" si="131"/>
        <v>0.80504166666666677</v>
      </c>
      <c r="AX81" s="5">
        <f t="shared" si="132"/>
        <v>1.1999873066666669</v>
      </c>
      <c r="AY81" s="5">
        <f t="shared" si="133"/>
        <v>0.20126041666666669</v>
      </c>
      <c r="AZ81" s="5">
        <f t="shared" si="134"/>
        <v>0.99744012121212122</v>
      </c>
      <c r="BA81" s="5">
        <f t="shared" si="135"/>
        <v>0.16432314261058353</v>
      </c>
      <c r="BB81" s="469">
        <f t="shared" si="136"/>
        <v>26.671702817693365</v>
      </c>
      <c r="BC81" s="5"/>
      <c r="BD81" s="177">
        <f t="shared" si="163"/>
        <v>0.2516985291689447</v>
      </c>
      <c r="BE81" s="177">
        <f t="shared" si="137"/>
        <v>0.32816278695378004</v>
      </c>
      <c r="BF81" s="177">
        <f t="shared" si="138"/>
        <v>0.16408139347689002</v>
      </c>
      <c r="BG81" s="177"/>
      <c r="BH81" s="538">
        <f t="shared" si="139"/>
        <v>2.2173252355033535E-2</v>
      </c>
      <c r="BI81" s="538">
        <f t="shared" si="140"/>
        <v>7.5249016413292749E-2</v>
      </c>
      <c r="BJ81" s="538">
        <f t="shared" si="141"/>
        <v>4.3749999999999995E-3</v>
      </c>
      <c r="BK81" s="538">
        <f t="shared" si="142"/>
        <v>4.6565908480000008E-2</v>
      </c>
      <c r="BL81">
        <f t="shared" si="143"/>
        <v>9.2800000000000001E-3</v>
      </c>
      <c r="BM81">
        <f t="shared" si="144"/>
        <v>2.3625000000000002E-5</v>
      </c>
      <c r="BN81">
        <f t="shared" si="145"/>
        <v>0.1613201463985664</v>
      </c>
      <c r="BO81" s="469">
        <f t="shared" si="164"/>
        <v>161.32014639856641</v>
      </c>
      <c r="BP81" s="177">
        <f t="shared" si="146"/>
        <v>9.9201891231165934E-2</v>
      </c>
      <c r="BQ81" s="177">
        <f t="shared" si="147"/>
        <v>3.9316472807791485E-2</v>
      </c>
      <c r="BR81" s="538"/>
      <c r="BT81" s="469">
        <f t="shared" si="165"/>
        <v>138.51836403895743</v>
      </c>
      <c r="BU81" s="538">
        <f t="shared" si="148"/>
        <v>6.335214958581011E-3</v>
      </c>
      <c r="BV81" s="538">
        <f t="shared" si="149"/>
        <v>3.2307244422381605E-3</v>
      </c>
      <c r="BW81" s="538">
        <f t="shared" si="150"/>
        <v>1.3461351842659003E-3</v>
      </c>
      <c r="BX81" s="538">
        <f t="shared" si="151"/>
        <v>0</v>
      </c>
      <c r="BY81" s="538">
        <f t="shared" si="152"/>
        <v>1.2232201831193026E-2</v>
      </c>
      <c r="BZ81" s="538">
        <f t="shared" si="166"/>
        <v>1.0912074585085071E-2</v>
      </c>
      <c r="CA81" s="641">
        <f t="shared" si="153"/>
        <v>1.2160000000000002E-2</v>
      </c>
      <c r="CB81" s="469">
        <f t="shared" si="167"/>
        <v>24.392201831193027</v>
      </c>
      <c r="CC81" s="177">
        <f t="shared" si="168"/>
        <v>0.32423071226871686</v>
      </c>
      <c r="CD81" s="5">
        <f t="shared" si="169"/>
        <v>3.6480000000000006</v>
      </c>
      <c r="CE81" s="177">
        <f t="shared" si="170"/>
        <v>0.91837565948340039</v>
      </c>
      <c r="CF81" s="5">
        <f t="shared" si="171"/>
        <v>91.837565948340043</v>
      </c>
      <c r="CG81">
        <f t="shared" si="172"/>
        <v>76.000000000000014</v>
      </c>
      <c r="CI81" s="571">
        <f t="shared" si="154"/>
        <v>-50</v>
      </c>
      <c r="CJ81">
        <f t="shared" si="155"/>
        <v>-50</v>
      </c>
    </row>
    <row r="82" spans="5:88" x14ac:dyDescent="0.25">
      <c r="E82" s="174">
        <v>77</v>
      </c>
      <c r="F82" s="221">
        <f t="shared" si="173"/>
        <v>0.15400000000000003</v>
      </c>
      <c r="G82" s="221">
        <f t="shared" si="156"/>
        <v>7.7000000000000013E-2</v>
      </c>
      <c r="H82" s="221">
        <f t="shared" si="105"/>
        <v>2.4640000000000004</v>
      </c>
      <c r="I82" s="221">
        <f t="shared" si="174"/>
        <v>1.2320000000000002</v>
      </c>
      <c r="J82" s="551">
        <f t="shared" si="106"/>
        <v>32</v>
      </c>
      <c r="K82" s="451">
        <f t="shared" si="107"/>
        <v>19.584</v>
      </c>
      <c r="L82" s="451">
        <f t="shared" si="108"/>
        <v>51.584000000000003</v>
      </c>
      <c r="M82" s="451"/>
      <c r="N82" s="221">
        <f t="shared" si="109"/>
        <v>0.37965260545905705</v>
      </c>
      <c r="O82" s="176">
        <f t="shared" si="157"/>
        <v>5.4669975186104214</v>
      </c>
      <c r="P82" s="176">
        <f t="shared" si="110"/>
        <v>2.7334987593052107</v>
      </c>
      <c r="Q82" s="221">
        <f t="shared" si="111"/>
        <v>0.34168734491315134</v>
      </c>
      <c r="R82" s="221">
        <f t="shared" si="112"/>
        <v>0.34168734491315134</v>
      </c>
      <c r="S82" s="451">
        <f t="shared" si="113"/>
        <v>16</v>
      </c>
      <c r="T82" s="221">
        <f t="shared" si="114"/>
        <v>0.67605664488017447</v>
      </c>
      <c r="U82" s="221">
        <f t="shared" si="115"/>
        <v>0.63380310457516353</v>
      </c>
      <c r="V82" s="221">
        <f t="shared" si="116"/>
        <v>1.0356259878679142</v>
      </c>
      <c r="W82" s="201">
        <f t="shared" si="117"/>
        <v>350</v>
      </c>
      <c r="X82" s="451">
        <f t="shared" si="158"/>
        <v>350</v>
      </c>
      <c r="Z82" s="221">
        <f t="shared" si="118"/>
        <v>1.1570365118752215</v>
      </c>
      <c r="AA82" s="177">
        <f t="shared" si="119"/>
        <v>1.7724211272598367</v>
      </c>
      <c r="AB82" s="177">
        <f t="shared" si="120"/>
        <v>0.2871058342122137</v>
      </c>
      <c r="AC82" s="177"/>
      <c r="AD82" s="177">
        <f t="shared" si="121"/>
        <v>0.4595588235294118</v>
      </c>
      <c r="AE82" s="555">
        <f t="shared" si="122"/>
        <v>2792.5333333333347</v>
      </c>
      <c r="AF82" s="538">
        <f t="shared" si="123"/>
        <v>1.9301470588235291E-2</v>
      </c>
      <c r="AH82" s="177">
        <f t="shared" si="124"/>
        <v>0.83904707853612126</v>
      </c>
      <c r="AI82" s="177">
        <f t="shared" si="125"/>
        <v>0.83904707853612126</v>
      </c>
      <c r="AJ82" s="177">
        <f t="shared" si="126"/>
        <v>1.5992941322489787</v>
      </c>
      <c r="AL82" s="555">
        <f t="shared" si="127"/>
        <v>154.00000000000003</v>
      </c>
      <c r="AM82" s="469">
        <f t="shared" si="128"/>
        <v>350</v>
      </c>
      <c r="AO82">
        <f t="shared" si="159"/>
        <v>154.00000000000003</v>
      </c>
      <c r="AP82">
        <f t="shared" si="129"/>
        <v>350</v>
      </c>
      <c r="AR82" s="5">
        <f t="shared" si="160"/>
        <v>2.8571428571428572</v>
      </c>
      <c r="AS82" s="5">
        <f t="shared" si="130"/>
        <v>0.78660663612761372</v>
      </c>
      <c r="AT82" s="5">
        <f t="shared" si="161"/>
        <v>2.0705362210152436</v>
      </c>
      <c r="AU82" s="177">
        <f t="shared" si="162"/>
        <v>0.27531232264466482</v>
      </c>
      <c r="AW82" s="5">
        <f t="shared" si="131"/>
        <v>0.80504166666666677</v>
      </c>
      <c r="AX82" s="5">
        <f t="shared" si="132"/>
        <v>1.2256947266666669</v>
      </c>
      <c r="AY82" s="5">
        <f t="shared" si="133"/>
        <v>0.20126041666666669</v>
      </c>
      <c r="AZ82" s="5">
        <f t="shared" si="134"/>
        <v>1.0218349166666667</v>
      </c>
      <c r="BA82" s="5">
        <f t="shared" si="135"/>
        <v>0.16607425939393103</v>
      </c>
      <c r="BB82" s="469">
        <f t="shared" si="136"/>
        <v>26.956881503028963</v>
      </c>
      <c r="BC82" s="5"/>
      <c r="BD82" s="177">
        <f t="shared" si="163"/>
        <v>0.25417833315859428</v>
      </c>
      <c r="BE82" s="177">
        <f t="shared" si="137"/>
        <v>0.32990669383388782</v>
      </c>
      <c r="BF82" s="177">
        <f t="shared" si="138"/>
        <v>0.16495334691694391</v>
      </c>
      <c r="BG82" s="177"/>
      <c r="BH82" s="538">
        <f t="shared" si="139"/>
        <v>2.261231876654847E-2</v>
      </c>
      <c r="BI82" s="538">
        <f t="shared" si="140"/>
        <v>7.5742457873612751E-2</v>
      </c>
      <c r="BJ82" s="538">
        <f t="shared" si="141"/>
        <v>4.3749999999999995E-3</v>
      </c>
      <c r="BK82" s="538">
        <f t="shared" si="142"/>
        <v>4.6565908480000008E-2</v>
      </c>
      <c r="BL82">
        <f t="shared" si="143"/>
        <v>9.2800000000000001E-3</v>
      </c>
      <c r="BM82">
        <f t="shared" si="144"/>
        <v>2.3625000000000002E-5</v>
      </c>
      <c r="BN82">
        <f t="shared" si="145"/>
        <v>0.16232920618852689</v>
      </c>
      <c r="BO82" s="469">
        <f t="shared" si="164"/>
        <v>162.32920618852688</v>
      </c>
      <c r="BP82" s="177">
        <f t="shared" si="146"/>
        <v>0.10040427897510734</v>
      </c>
      <c r="BQ82" s="177">
        <f t="shared" si="147"/>
        <v>3.980806974377684E-2</v>
      </c>
      <c r="BR82" s="538"/>
      <c r="BT82" s="469">
        <f t="shared" si="165"/>
        <v>140.21234871888419</v>
      </c>
      <c r="BU82" s="538">
        <f t="shared" si="148"/>
        <v>6.460662504728135E-3</v>
      </c>
      <c r="BV82" s="538">
        <f t="shared" si="149"/>
        <v>3.2651527990921977E-3</v>
      </c>
      <c r="BW82" s="538">
        <f t="shared" si="150"/>
        <v>1.3604803329550826E-3</v>
      </c>
      <c r="BX82" s="538">
        <f t="shared" si="151"/>
        <v>0</v>
      </c>
      <c r="BY82" s="538">
        <f t="shared" si="152"/>
        <v>1.2427673261977228E-2</v>
      </c>
      <c r="BZ82" s="538">
        <f t="shared" si="166"/>
        <v>1.1086295636775415E-2</v>
      </c>
      <c r="CA82" s="641">
        <f t="shared" si="153"/>
        <v>1.2320000000000001E-2</v>
      </c>
      <c r="CB82" s="469">
        <f t="shared" si="167"/>
        <v>24.74767326197723</v>
      </c>
      <c r="CC82" s="177">
        <f t="shared" si="168"/>
        <v>0.32728922816938832</v>
      </c>
      <c r="CD82" s="5">
        <f t="shared" si="169"/>
        <v>3.6960000000000006</v>
      </c>
      <c r="CE82" s="177">
        <f t="shared" si="170"/>
        <v>0.91865132989250531</v>
      </c>
      <c r="CF82" s="5">
        <f t="shared" si="171"/>
        <v>91.865132989250526</v>
      </c>
      <c r="CG82">
        <f t="shared" si="172"/>
        <v>77.000000000000014</v>
      </c>
      <c r="CI82" s="571">
        <f t="shared" si="154"/>
        <v>-50</v>
      </c>
      <c r="CJ82">
        <f t="shared" si="155"/>
        <v>-50</v>
      </c>
    </row>
    <row r="83" spans="5:88" x14ac:dyDescent="0.25">
      <c r="E83" s="174">
        <v>78</v>
      </c>
      <c r="F83" s="221">
        <f t="shared" si="173"/>
        <v>0.15600000000000003</v>
      </c>
      <c r="G83" s="221">
        <f t="shared" si="156"/>
        <v>7.8000000000000014E-2</v>
      </c>
      <c r="H83" s="221">
        <f t="shared" si="105"/>
        <v>2.4960000000000004</v>
      </c>
      <c r="I83" s="221">
        <f t="shared" si="174"/>
        <v>1.2480000000000002</v>
      </c>
      <c r="J83" s="551">
        <f t="shared" si="106"/>
        <v>32</v>
      </c>
      <c r="K83" s="451">
        <f t="shared" si="107"/>
        <v>19.584</v>
      </c>
      <c r="L83" s="451">
        <f t="shared" si="108"/>
        <v>51.584000000000003</v>
      </c>
      <c r="M83" s="451"/>
      <c r="N83" s="221">
        <f t="shared" si="109"/>
        <v>0.37965260545905705</v>
      </c>
      <c r="O83" s="176">
        <f t="shared" si="157"/>
        <v>5.4669975186104214</v>
      </c>
      <c r="P83" s="176">
        <f t="shared" si="110"/>
        <v>2.7334987593052107</v>
      </c>
      <c r="Q83" s="221">
        <f t="shared" si="111"/>
        <v>0.34168734491315134</v>
      </c>
      <c r="R83" s="221">
        <f t="shared" si="112"/>
        <v>0.34168734491315134</v>
      </c>
      <c r="S83" s="451">
        <f t="shared" si="113"/>
        <v>16</v>
      </c>
      <c r="T83" s="221">
        <f t="shared" si="114"/>
        <v>0.68483660130718971</v>
      </c>
      <c r="U83" s="221">
        <f t="shared" si="115"/>
        <v>0.64203431372549036</v>
      </c>
      <c r="V83" s="221">
        <f t="shared" si="116"/>
        <v>1.049075676022043</v>
      </c>
      <c r="W83" s="201">
        <f t="shared" si="117"/>
        <v>350</v>
      </c>
      <c r="X83" s="451">
        <f t="shared" si="158"/>
        <v>350</v>
      </c>
      <c r="Z83" s="221">
        <f t="shared" si="118"/>
        <v>1.1570365118752215</v>
      </c>
      <c r="AA83" s="177">
        <f t="shared" si="119"/>
        <v>1.7724211272598367</v>
      </c>
      <c r="AB83" s="177">
        <f t="shared" si="120"/>
        <v>0.2871058342122137</v>
      </c>
      <c r="AC83" s="177"/>
      <c r="AD83" s="177">
        <f t="shared" si="121"/>
        <v>0.4595588235294118</v>
      </c>
      <c r="AE83" s="555">
        <f t="shared" si="122"/>
        <v>2828.8000000000011</v>
      </c>
      <c r="AF83" s="538">
        <f t="shared" si="123"/>
        <v>1.9301470588235291E-2</v>
      </c>
      <c r="AH83" s="177">
        <f t="shared" si="124"/>
        <v>0.84447786065879626</v>
      </c>
      <c r="AI83" s="177">
        <f t="shared" si="125"/>
        <v>0.84447786065879626</v>
      </c>
      <c r="AJ83" s="177">
        <f t="shared" si="126"/>
        <v>1.6033169338213307</v>
      </c>
      <c r="AL83" s="555">
        <f t="shared" si="127"/>
        <v>156.00000000000003</v>
      </c>
      <c r="AM83" s="469">
        <f t="shared" si="128"/>
        <v>350</v>
      </c>
      <c r="AO83">
        <f t="shared" si="159"/>
        <v>156.00000000000003</v>
      </c>
      <c r="AP83">
        <f t="shared" si="129"/>
        <v>350</v>
      </c>
      <c r="AR83" s="5">
        <f t="shared" si="160"/>
        <v>2.8571428571428572</v>
      </c>
      <c r="AS83" s="5">
        <f t="shared" si="130"/>
        <v>0.79169799436762156</v>
      </c>
      <c r="AT83" s="5">
        <f t="shared" si="161"/>
        <v>2.0654448627752355</v>
      </c>
      <c r="AU83" s="177">
        <f t="shared" si="162"/>
        <v>0.27709429802866753</v>
      </c>
      <c r="AW83" s="5">
        <f t="shared" si="131"/>
        <v>0.80504166666666677</v>
      </c>
      <c r="AX83" s="5">
        <f t="shared" si="132"/>
        <v>1.2516597600000001</v>
      </c>
      <c r="AY83" s="5">
        <f t="shared" si="133"/>
        <v>0.20126041666666669</v>
      </c>
      <c r="AZ83" s="5">
        <f t="shared" si="134"/>
        <v>1.0465224545454546</v>
      </c>
      <c r="BA83" s="5">
        <f t="shared" si="135"/>
        <v>0.1678173951004879</v>
      </c>
      <c r="BB83" s="469">
        <f t="shared" si="136"/>
        <v>27.240783216078071</v>
      </c>
      <c r="BC83" s="5"/>
      <c r="BD83" s="177">
        <f t="shared" si="163"/>
        <v>0.25665009863895655</v>
      </c>
      <c r="BE83" s="177">
        <f t="shared" si="137"/>
        <v>0.33163354482478963</v>
      </c>
      <c r="BF83" s="177">
        <f t="shared" si="138"/>
        <v>0.16581677241239481</v>
      </c>
      <c r="BG83" s="177"/>
      <c r="BH83" s="538">
        <f t="shared" si="139"/>
        <v>2.3054245595985144E-2</v>
      </c>
      <c r="BI83" s="538">
        <f t="shared" si="140"/>
        <v>7.6232705437390857E-2</v>
      </c>
      <c r="BJ83" s="538">
        <f t="shared" si="141"/>
        <v>4.3749999999999995E-3</v>
      </c>
      <c r="BK83" s="538">
        <f t="shared" si="142"/>
        <v>4.6565908480000008E-2</v>
      </c>
      <c r="BL83">
        <f t="shared" si="143"/>
        <v>9.2800000000000001E-3</v>
      </c>
      <c r="BM83">
        <f t="shared" si="144"/>
        <v>2.3625000000000002E-5</v>
      </c>
      <c r="BN83">
        <f t="shared" si="145"/>
        <v>0.16333856963251112</v>
      </c>
      <c r="BO83" s="469">
        <f t="shared" si="164"/>
        <v>163.33856963251111</v>
      </c>
      <c r="BP83" s="177">
        <f t="shared" si="146"/>
        <v>0.10160466867626732</v>
      </c>
      <c r="BQ83" s="177">
        <f t="shared" si="147"/>
        <v>4.0299167169066834E-2</v>
      </c>
      <c r="BR83" s="538"/>
      <c r="BT83" s="469">
        <f t="shared" si="165"/>
        <v>141.90383584533413</v>
      </c>
      <c r="BU83" s="538">
        <f t="shared" si="148"/>
        <v>6.5869273131386134E-3</v>
      </c>
      <c r="BV83" s="538">
        <f t="shared" si="149"/>
        <v>3.2994242415916725E-3</v>
      </c>
      <c r="BW83" s="538">
        <f t="shared" si="150"/>
        <v>1.374760100663197E-3</v>
      </c>
      <c r="BX83" s="538">
        <f t="shared" si="151"/>
        <v>0</v>
      </c>
      <c r="BY83" s="538">
        <f t="shared" si="152"/>
        <v>1.2623817711702207E-2</v>
      </c>
      <c r="BZ83" s="538">
        <f t="shared" si="166"/>
        <v>1.1261111655393483E-2</v>
      </c>
      <c r="CA83" s="641">
        <f t="shared" si="153"/>
        <v>1.2480000000000003E-2</v>
      </c>
      <c r="CB83" s="469">
        <f t="shared" si="167"/>
        <v>25.103817711702213</v>
      </c>
      <c r="CC83" s="177">
        <f t="shared" si="168"/>
        <v>0.33034622318954748</v>
      </c>
      <c r="CD83" s="5">
        <f t="shared" si="169"/>
        <v>3.7440000000000007</v>
      </c>
      <c r="CE83" s="177">
        <f t="shared" si="170"/>
        <v>0.91892043407863844</v>
      </c>
      <c r="CF83" s="5">
        <f t="shared" si="171"/>
        <v>91.892043407863838</v>
      </c>
      <c r="CG83">
        <f t="shared" si="172"/>
        <v>78.000000000000014</v>
      </c>
      <c r="CI83" s="571">
        <f t="shared" si="154"/>
        <v>-50</v>
      </c>
      <c r="CJ83">
        <f t="shared" si="155"/>
        <v>-50</v>
      </c>
    </row>
    <row r="84" spans="5:88" x14ac:dyDescent="0.25">
      <c r="E84" s="174">
        <v>79</v>
      </c>
      <c r="F84" s="221">
        <f t="shared" si="173"/>
        <v>0.15800000000000003</v>
      </c>
      <c r="G84" s="221">
        <f t="shared" si="156"/>
        <v>7.9000000000000015E-2</v>
      </c>
      <c r="H84" s="221">
        <f t="shared" si="105"/>
        <v>2.5280000000000005</v>
      </c>
      <c r="I84" s="221">
        <f t="shared" si="174"/>
        <v>1.2640000000000002</v>
      </c>
      <c r="J84" s="551">
        <f t="shared" si="106"/>
        <v>32</v>
      </c>
      <c r="K84" s="451">
        <f t="shared" si="107"/>
        <v>19.584</v>
      </c>
      <c r="L84" s="451">
        <f t="shared" si="108"/>
        <v>51.584000000000003</v>
      </c>
      <c r="M84" s="451"/>
      <c r="N84" s="221">
        <f t="shared" si="109"/>
        <v>0.37965260545905705</v>
      </c>
      <c r="O84" s="176">
        <f t="shared" si="157"/>
        <v>5.4669975186104214</v>
      </c>
      <c r="P84" s="176">
        <f t="shared" si="110"/>
        <v>2.7334987593052107</v>
      </c>
      <c r="Q84" s="221">
        <f t="shared" si="111"/>
        <v>0.34168734491315134</v>
      </c>
      <c r="R84" s="221">
        <f t="shared" si="112"/>
        <v>0.34168734491315134</v>
      </c>
      <c r="S84" s="451">
        <f t="shared" si="113"/>
        <v>16</v>
      </c>
      <c r="T84" s="221">
        <f t="shared" si="114"/>
        <v>0.69361655773420494</v>
      </c>
      <c r="U84" s="221">
        <f t="shared" si="115"/>
        <v>0.65026552287581718</v>
      </c>
      <c r="V84" s="221">
        <f t="shared" si="116"/>
        <v>1.0625253641761718</v>
      </c>
      <c r="W84" s="201">
        <f t="shared" si="117"/>
        <v>350</v>
      </c>
      <c r="X84" s="451">
        <f t="shared" si="158"/>
        <v>350</v>
      </c>
      <c r="Z84" s="221">
        <f t="shared" si="118"/>
        <v>1.1570365118752215</v>
      </c>
      <c r="AA84" s="177">
        <f t="shared" si="119"/>
        <v>1.7724211272598367</v>
      </c>
      <c r="AB84" s="177">
        <f t="shared" si="120"/>
        <v>0.2871058342122137</v>
      </c>
      <c r="AC84" s="177"/>
      <c r="AD84" s="177">
        <f t="shared" si="121"/>
        <v>0.4595588235294118</v>
      </c>
      <c r="AE84" s="555">
        <f t="shared" si="122"/>
        <v>2865.0666666666675</v>
      </c>
      <c r="AF84" s="538">
        <f t="shared" si="123"/>
        <v>1.9301470588235291E-2</v>
      </c>
      <c r="AH84" s="177">
        <f t="shared" si="124"/>
        <v>0.84987394023214669</v>
      </c>
      <c r="AI84" s="177">
        <f t="shared" si="125"/>
        <v>0.84987394023214669</v>
      </c>
      <c r="AJ84" s="177">
        <f t="shared" si="126"/>
        <v>1.60731402980159</v>
      </c>
      <c r="AL84" s="555">
        <f t="shared" si="127"/>
        <v>158.00000000000003</v>
      </c>
      <c r="AM84" s="469">
        <f t="shared" si="128"/>
        <v>350</v>
      </c>
      <c r="AO84">
        <f t="shared" si="159"/>
        <v>158.00000000000003</v>
      </c>
      <c r="AP84">
        <f t="shared" si="129"/>
        <v>350</v>
      </c>
      <c r="AR84" s="5">
        <f t="shared" si="160"/>
        <v>2.8571428571428572</v>
      </c>
      <c r="AS84" s="5">
        <f t="shared" si="130"/>
        <v>0.7967568189676375</v>
      </c>
      <c r="AT84" s="5">
        <f t="shared" si="161"/>
        <v>2.0603860381752197</v>
      </c>
      <c r="AU84" s="177">
        <f t="shared" si="162"/>
        <v>0.27886488663867309</v>
      </c>
      <c r="AW84" s="5">
        <f t="shared" si="131"/>
        <v>0.80504166666666677</v>
      </c>
      <c r="AX84" s="5">
        <f t="shared" si="132"/>
        <v>1.277882406666667</v>
      </c>
      <c r="AY84" s="5">
        <f t="shared" si="133"/>
        <v>0.20126041666666669</v>
      </c>
      <c r="AZ84" s="5">
        <f t="shared" si="134"/>
        <v>1.0715027348484851</v>
      </c>
      <c r="BA84" s="5">
        <f t="shared" si="135"/>
        <v>0.16955260105816913</v>
      </c>
      <c r="BB84" s="469">
        <f t="shared" si="136"/>
        <v>27.523416169307062</v>
      </c>
      <c r="BC84" s="5"/>
      <c r="BD84" s="177">
        <f t="shared" si="163"/>
        <v>0.2591139542331512</v>
      </c>
      <c r="BE84" s="177">
        <f t="shared" si="137"/>
        <v>0.33334365545107009</v>
      </c>
      <c r="BF84" s="177">
        <f t="shared" si="138"/>
        <v>0.16667182772553504</v>
      </c>
      <c r="BG84" s="177"/>
      <c r="BH84" s="538">
        <f t="shared" si="139"/>
        <v>2.3499014447418847E-2</v>
      </c>
      <c r="BI84" s="538">
        <f t="shared" si="140"/>
        <v>7.6719820332636357E-2</v>
      </c>
      <c r="BJ84" s="538">
        <f t="shared" si="141"/>
        <v>4.3749999999999995E-3</v>
      </c>
      <c r="BK84" s="538">
        <f t="shared" si="142"/>
        <v>4.6565908480000008E-2</v>
      </c>
      <c r="BL84">
        <f t="shared" si="143"/>
        <v>9.2800000000000001E-3</v>
      </c>
      <c r="BM84">
        <f t="shared" si="144"/>
        <v>2.3625000000000002E-5</v>
      </c>
      <c r="BN84">
        <f t="shared" si="145"/>
        <v>0.16434827837423888</v>
      </c>
      <c r="BO84" s="469">
        <f t="shared" si="164"/>
        <v>164.34827837423887</v>
      </c>
      <c r="BP84" s="177">
        <f t="shared" si="146"/>
        <v>0.10280307318446205</v>
      </c>
      <c r="BQ84" s="177">
        <f t="shared" si="147"/>
        <v>4.0789768296115518E-2</v>
      </c>
      <c r="BR84" s="538"/>
      <c r="BT84" s="469">
        <f t="shared" si="165"/>
        <v>143.59284148057759</v>
      </c>
      <c r="BU84" s="538">
        <f t="shared" si="148"/>
        <v>6.7140041278339578E-3</v>
      </c>
      <c r="BV84" s="538">
        <f t="shared" si="149"/>
        <v>3.3335397788844517E-3</v>
      </c>
      <c r="BW84" s="538">
        <f t="shared" si="150"/>
        <v>1.3889749078685217E-3</v>
      </c>
      <c r="BX84" s="538">
        <f t="shared" si="151"/>
        <v>0</v>
      </c>
      <c r="BY84" s="538">
        <f t="shared" si="152"/>
        <v>1.2820630943297193E-2</v>
      </c>
      <c r="BZ84" s="538">
        <f t="shared" si="166"/>
        <v>1.1436518814586931E-2</v>
      </c>
      <c r="CA84" s="641">
        <f t="shared" si="153"/>
        <v>1.2640000000000002E-2</v>
      </c>
      <c r="CB84" s="469">
        <f t="shared" si="167"/>
        <v>25.460630943297197</v>
      </c>
      <c r="CC84" s="177">
        <f t="shared" si="168"/>
        <v>0.33340175079811368</v>
      </c>
      <c r="CD84" s="5">
        <f t="shared" si="169"/>
        <v>3.7920000000000007</v>
      </c>
      <c r="CE84" s="177">
        <f t="shared" si="170"/>
        <v>0.91918320422159794</v>
      </c>
      <c r="CF84" s="5">
        <f t="shared" si="171"/>
        <v>91.918320422159795</v>
      </c>
      <c r="CG84">
        <f t="shared" si="172"/>
        <v>79.000000000000014</v>
      </c>
      <c r="CI84" s="571">
        <f t="shared" si="154"/>
        <v>-50</v>
      </c>
      <c r="CJ84">
        <f t="shared" si="155"/>
        <v>-50</v>
      </c>
    </row>
    <row r="85" spans="5:88" x14ac:dyDescent="0.25">
      <c r="E85" s="174">
        <v>80</v>
      </c>
      <c r="F85" s="221">
        <f t="shared" si="173"/>
        <v>0.16000000000000003</v>
      </c>
      <c r="G85" s="221">
        <f t="shared" si="156"/>
        <v>8.0000000000000016E-2</v>
      </c>
      <c r="H85" s="221">
        <f t="shared" si="105"/>
        <v>2.5600000000000005</v>
      </c>
      <c r="I85" s="221">
        <f t="shared" si="174"/>
        <v>1.2800000000000002</v>
      </c>
      <c r="J85" s="551">
        <f t="shared" si="106"/>
        <v>32</v>
      </c>
      <c r="K85" s="451">
        <f t="shared" si="107"/>
        <v>19.584</v>
      </c>
      <c r="L85" s="451">
        <f t="shared" si="108"/>
        <v>51.584000000000003</v>
      </c>
      <c r="M85" s="451"/>
      <c r="N85" s="221">
        <f t="shared" si="109"/>
        <v>0.37965260545905705</v>
      </c>
      <c r="O85" s="176">
        <f t="shared" si="157"/>
        <v>5.4669975186104214</v>
      </c>
      <c r="P85" s="176">
        <f t="shared" si="110"/>
        <v>2.7334987593052107</v>
      </c>
      <c r="Q85" s="221">
        <f t="shared" si="111"/>
        <v>0.34168734491315134</v>
      </c>
      <c r="R85" s="221">
        <f t="shared" si="112"/>
        <v>0.34168734491315134</v>
      </c>
      <c r="S85" s="451">
        <f t="shared" si="113"/>
        <v>16</v>
      </c>
      <c r="T85" s="221">
        <f t="shared" si="114"/>
        <v>0.70239651416122029</v>
      </c>
      <c r="U85" s="221">
        <f t="shared" si="115"/>
        <v>0.658496732026144</v>
      </c>
      <c r="V85" s="221">
        <f t="shared" si="116"/>
        <v>1.0759750523303009</v>
      </c>
      <c r="W85" s="201">
        <f t="shared" si="117"/>
        <v>350</v>
      </c>
      <c r="X85" s="451">
        <f t="shared" si="158"/>
        <v>350</v>
      </c>
      <c r="Z85" s="221">
        <f t="shared" si="118"/>
        <v>1.1570365118752215</v>
      </c>
      <c r="AA85" s="177">
        <f t="shared" si="119"/>
        <v>1.7724211272598367</v>
      </c>
      <c r="AB85" s="177">
        <f t="shared" si="120"/>
        <v>0.2871058342122137</v>
      </c>
      <c r="AC85" s="177"/>
      <c r="AD85" s="177">
        <f t="shared" si="121"/>
        <v>0.4595588235294118</v>
      </c>
      <c r="AE85" s="555">
        <f t="shared" si="122"/>
        <v>2901.3333333333344</v>
      </c>
      <c r="AF85" s="538">
        <f t="shared" si="123"/>
        <v>1.9301470588235291E-2</v>
      </c>
      <c r="AH85" s="177">
        <f t="shared" si="124"/>
        <v>0.85523597411975805</v>
      </c>
      <c r="AI85" s="177">
        <f t="shared" si="125"/>
        <v>0.85523597411975805</v>
      </c>
      <c r="AJ85" s="177">
        <f t="shared" si="126"/>
        <v>1.6112859067553764</v>
      </c>
      <c r="AL85" s="555">
        <f t="shared" si="127"/>
        <v>160.00000000000003</v>
      </c>
      <c r="AM85" s="469">
        <f t="shared" si="128"/>
        <v>350</v>
      </c>
      <c r="AO85">
        <f t="shared" si="159"/>
        <v>160.00000000000003</v>
      </c>
      <c r="AP85">
        <f t="shared" si="129"/>
        <v>350</v>
      </c>
      <c r="AR85" s="5">
        <f t="shared" si="160"/>
        <v>2.8571428571428572</v>
      </c>
      <c r="AS85" s="5">
        <f t="shared" si="130"/>
        <v>0.80178372573727319</v>
      </c>
      <c r="AT85" s="5">
        <f t="shared" si="161"/>
        <v>2.0553591314055839</v>
      </c>
      <c r="AU85" s="177">
        <f t="shared" si="162"/>
        <v>0.28062430400804561</v>
      </c>
      <c r="AW85" s="5">
        <f t="shared" si="131"/>
        <v>0.80504166666666677</v>
      </c>
      <c r="AX85" s="5">
        <f t="shared" si="132"/>
        <v>1.304362666666667</v>
      </c>
      <c r="AY85" s="5">
        <f t="shared" si="133"/>
        <v>0.20126041666666669</v>
      </c>
      <c r="AZ85" s="5">
        <f t="shared" si="134"/>
        <v>1.0967757575757577</v>
      </c>
      <c r="BA85" s="5">
        <f t="shared" si="135"/>
        <v>0.17127992761713201</v>
      </c>
      <c r="BB85" s="469">
        <f t="shared" si="136"/>
        <v>27.804788418741122</v>
      </c>
      <c r="BC85" s="5"/>
      <c r="BD85" s="177">
        <f t="shared" si="163"/>
        <v>0.26157002490648779</v>
      </c>
      <c r="BE85" s="177">
        <f t="shared" si="137"/>
        <v>0.33503733129781754</v>
      </c>
      <c r="BF85" s="177">
        <f t="shared" si="138"/>
        <v>0.16751866564890877</v>
      </c>
      <c r="BG85" s="177"/>
      <c r="BH85" s="538">
        <f t="shared" si="139"/>
        <v>2.3946607275353221E-2</v>
      </c>
      <c r="BI85" s="538">
        <f t="shared" si="140"/>
        <v>7.7203861855738798E-2</v>
      </c>
      <c r="BJ85" s="538">
        <f t="shared" si="141"/>
        <v>4.3749999999999995E-3</v>
      </c>
      <c r="BK85" s="538">
        <f t="shared" si="142"/>
        <v>4.6565908480000008E-2</v>
      </c>
      <c r="BL85">
        <f t="shared" si="143"/>
        <v>9.2800000000000001E-3</v>
      </c>
      <c r="BM85">
        <f t="shared" si="144"/>
        <v>2.3625000000000002E-5</v>
      </c>
      <c r="BN85">
        <f t="shared" si="145"/>
        <v>0.1653583725284882</v>
      </c>
      <c r="BO85" s="469">
        <f t="shared" si="164"/>
        <v>165.35837252848819</v>
      </c>
      <c r="BP85" s="177">
        <f t="shared" si="146"/>
        <v>0.1039995051047285</v>
      </c>
      <c r="BQ85" s="177">
        <f t="shared" si="147"/>
        <v>4.1279876276182126E-2</v>
      </c>
      <c r="BR85" s="538"/>
      <c r="BT85" s="469">
        <f t="shared" si="165"/>
        <v>145.27938138091062</v>
      </c>
      <c r="BU85" s="538">
        <f t="shared" si="148"/>
        <v>6.8418877929580643E-3</v>
      </c>
      <c r="BV85" s="538">
        <f t="shared" si="149"/>
        <v>3.3675004008949065E-3</v>
      </c>
      <c r="BW85" s="538">
        <f t="shared" si="150"/>
        <v>1.4031251670395444E-3</v>
      </c>
      <c r="BX85" s="538">
        <f t="shared" si="151"/>
        <v>0</v>
      </c>
      <c r="BY85" s="538">
        <f t="shared" si="152"/>
        <v>1.3018108801190607E-2</v>
      </c>
      <c r="BZ85" s="538">
        <f t="shared" si="166"/>
        <v>1.1612513360892515E-2</v>
      </c>
      <c r="CA85" s="641">
        <f t="shared" si="153"/>
        <v>1.2800000000000002E-2</v>
      </c>
      <c r="CB85" s="469">
        <f t="shared" si="167"/>
        <v>25.818108801190611</v>
      </c>
      <c r="CC85" s="177">
        <f t="shared" si="168"/>
        <v>0.33645586271058942</v>
      </c>
      <c r="CD85" s="5">
        <f t="shared" si="169"/>
        <v>3.8400000000000007</v>
      </c>
      <c r="CE85" s="177">
        <f t="shared" si="170"/>
        <v>0.91943986150682711</v>
      </c>
      <c r="CF85" s="5">
        <f t="shared" si="171"/>
        <v>91.943986150682704</v>
      </c>
      <c r="CG85">
        <f t="shared" si="172"/>
        <v>80.000000000000014</v>
      </c>
      <c r="CI85" s="571">
        <f t="shared" si="154"/>
        <v>-50</v>
      </c>
      <c r="CJ85">
        <f t="shared" si="155"/>
        <v>-50</v>
      </c>
    </row>
    <row r="86" spans="5:88" x14ac:dyDescent="0.25">
      <c r="E86" s="174">
        <v>81</v>
      </c>
      <c r="F86" s="221">
        <f t="shared" si="173"/>
        <v>0.16200000000000003</v>
      </c>
      <c r="G86" s="221">
        <f t="shared" si="156"/>
        <v>8.1000000000000016E-2</v>
      </c>
      <c r="H86" s="221">
        <f t="shared" si="105"/>
        <v>2.5920000000000005</v>
      </c>
      <c r="I86" s="221">
        <f t="shared" si="174"/>
        <v>1.2960000000000003</v>
      </c>
      <c r="J86" s="551">
        <f t="shared" si="106"/>
        <v>32</v>
      </c>
      <c r="K86" s="451">
        <f t="shared" si="107"/>
        <v>19.584</v>
      </c>
      <c r="L86" s="451">
        <f t="shared" si="108"/>
        <v>51.584000000000003</v>
      </c>
      <c r="M86" s="451"/>
      <c r="N86" s="221">
        <f t="shared" si="109"/>
        <v>0.37965260545905705</v>
      </c>
      <c r="O86" s="176">
        <f t="shared" si="157"/>
        <v>5.4669975186104214</v>
      </c>
      <c r="P86" s="176">
        <f t="shared" si="110"/>
        <v>2.7334987593052107</v>
      </c>
      <c r="Q86" s="221">
        <f t="shared" si="111"/>
        <v>0.34168734491315134</v>
      </c>
      <c r="R86" s="221">
        <f t="shared" si="112"/>
        <v>0.34168734491315134</v>
      </c>
      <c r="S86" s="451">
        <f t="shared" si="113"/>
        <v>16</v>
      </c>
      <c r="T86" s="221">
        <f t="shared" si="114"/>
        <v>0.71117647058823552</v>
      </c>
      <c r="U86" s="221">
        <f t="shared" si="115"/>
        <v>0.66672794117647083</v>
      </c>
      <c r="V86" s="221">
        <f t="shared" si="116"/>
        <v>1.0894247404844295</v>
      </c>
      <c r="W86" s="201">
        <f t="shared" si="117"/>
        <v>350</v>
      </c>
      <c r="X86" s="451">
        <f t="shared" si="158"/>
        <v>350</v>
      </c>
      <c r="Z86" s="221">
        <f t="shared" si="118"/>
        <v>1.1570365118752215</v>
      </c>
      <c r="AA86" s="177">
        <f t="shared" si="119"/>
        <v>1.7724211272598367</v>
      </c>
      <c r="AB86" s="177">
        <f t="shared" si="120"/>
        <v>0.2871058342122137</v>
      </c>
      <c r="AC86" s="177"/>
      <c r="AD86" s="177">
        <f t="shared" si="121"/>
        <v>0.4595588235294118</v>
      </c>
      <c r="AE86" s="555">
        <f t="shared" si="122"/>
        <v>2937.6000000000008</v>
      </c>
      <c r="AF86" s="538">
        <f t="shared" si="123"/>
        <v>1.9301470588235291E-2</v>
      </c>
      <c r="AH86" s="177">
        <f t="shared" si="124"/>
        <v>0.86056459872076352</v>
      </c>
      <c r="AI86" s="177">
        <f t="shared" si="125"/>
        <v>0.86056459872076352</v>
      </c>
      <c r="AJ86" s="177">
        <f t="shared" si="126"/>
        <v>1.6152330360894545</v>
      </c>
      <c r="AL86" s="555">
        <f t="shared" si="127"/>
        <v>162.00000000000003</v>
      </c>
      <c r="AM86" s="469">
        <f t="shared" si="128"/>
        <v>350</v>
      </c>
      <c r="AO86">
        <f t="shared" si="159"/>
        <v>162.00000000000003</v>
      </c>
      <c r="AP86">
        <f t="shared" si="129"/>
        <v>350</v>
      </c>
      <c r="AR86" s="5">
        <f t="shared" si="160"/>
        <v>2.8571428571428572</v>
      </c>
      <c r="AS86" s="5">
        <f t="shared" si="130"/>
        <v>0.80677931130071578</v>
      </c>
      <c r="AT86" s="5">
        <f t="shared" si="161"/>
        <v>2.0503635458421412</v>
      </c>
      <c r="AU86" s="177">
        <f t="shared" si="162"/>
        <v>0.28237275895525049</v>
      </c>
      <c r="AW86" s="5">
        <f t="shared" si="131"/>
        <v>0.80504166666666677</v>
      </c>
      <c r="AX86" s="5">
        <f t="shared" si="132"/>
        <v>1.3311005400000004</v>
      </c>
      <c r="AY86" s="5">
        <f t="shared" si="133"/>
        <v>0.20126041666666669</v>
      </c>
      <c r="AZ86" s="5">
        <f t="shared" si="134"/>
        <v>1.1223415227272728</v>
      </c>
      <c r="BA86" s="5">
        <f t="shared" si="135"/>
        <v>0.17299942418043071</v>
      </c>
      <c r="BB86" s="469">
        <f t="shared" si="136"/>
        <v>28.084907868868914</v>
      </c>
      <c r="BC86" s="5"/>
      <c r="BD86" s="177">
        <f t="shared" si="163"/>
        <v>0.2640184321148466</v>
      </c>
      <c r="BE86" s="177">
        <f t="shared" si="137"/>
        <v>0.33671486844344584</v>
      </c>
      <c r="BF86" s="177">
        <f t="shared" si="138"/>
        <v>0.16835743422172292</v>
      </c>
      <c r="BG86" s="177"/>
      <c r="BH86" s="538">
        <f t="shared" si="139"/>
        <v>2.4397006373733651E-2</v>
      </c>
      <c r="BI86" s="538">
        <f t="shared" si="140"/>
        <v>7.7684887455720775E-2</v>
      </c>
      <c r="BJ86" s="538">
        <f t="shared" si="141"/>
        <v>4.3749999999999995E-3</v>
      </c>
      <c r="BK86" s="538">
        <f t="shared" si="142"/>
        <v>4.6565908480000008E-2</v>
      </c>
      <c r="BL86">
        <f t="shared" si="143"/>
        <v>9.2800000000000001E-3</v>
      </c>
      <c r="BM86">
        <f t="shared" si="144"/>
        <v>2.3625000000000002E-5</v>
      </c>
      <c r="BN86">
        <f t="shared" si="145"/>
        <v>0.1663688907527604</v>
      </c>
      <c r="BO86" s="469">
        <f t="shared" si="164"/>
        <v>166.36889075276039</v>
      </c>
      <c r="BP86" s="177">
        <f t="shared" si="146"/>
        <v>0.10519397680499885</v>
      </c>
      <c r="BQ86" s="177">
        <f t="shared" si="147"/>
        <v>4.1769494201249723E-2</v>
      </c>
      <c r="BR86" s="538"/>
      <c r="BT86" s="469">
        <f t="shared" si="165"/>
        <v>146.96347100624857</v>
      </c>
      <c r="BU86" s="538">
        <f t="shared" si="148"/>
        <v>6.9705732496381859E-3</v>
      </c>
      <c r="BV86" s="538">
        <f t="shared" si="149"/>
        <v>3.401307078926611E-3</v>
      </c>
      <c r="BW86" s="538">
        <f t="shared" si="150"/>
        <v>1.4172112828860881E-3</v>
      </c>
      <c r="BX86" s="538">
        <f t="shared" si="151"/>
        <v>0</v>
      </c>
      <c r="BY86" s="538">
        <f t="shared" si="152"/>
        <v>1.3216247208753277E-2</v>
      </c>
      <c r="BZ86" s="538">
        <f t="shared" si="166"/>
        <v>1.1789091611450885E-2</v>
      </c>
      <c r="CA86" s="641">
        <f t="shared" si="153"/>
        <v>1.2960000000000005E-2</v>
      </c>
      <c r="CB86" s="469">
        <f t="shared" si="167"/>
        <v>26.176247208753281</v>
      </c>
      <c r="CC86" s="177">
        <f t="shared" si="168"/>
        <v>0.33950860896776225</v>
      </c>
      <c r="CD86" s="5">
        <f t="shared" si="169"/>
        <v>3.8880000000000008</v>
      </c>
      <c r="CE86" s="177">
        <f t="shared" si="170"/>
        <v>0.91969061677424702</v>
      </c>
      <c r="CF86" s="5">
        <f t="shared" si="171"/>
        <v>91.969061677424705</v>
      </c>
      <c r="CG86">
        <f t="shared" si="172"/>
        <v>81.000000000000014</v>
      </c>
      <c r="CI86" s="571">
        <f t="shared" si="154"/>
        <v>-50</v>
      </c>
      <c r="CJ86">
        <f t="shared" si="155"/>
        <v>-50</v>
      </c>
    </row>
    <row r="87" spans="5:88" x14ac:dyDescent="0.25">
      <c r="E87" s="174">
        <v>82</v>
      </c>
      <c r="F87" s="221">
        <f t="shared" si="173"/>
        <v>0.16400000000000001</v>
      </c>
      <c r="G87" s="221">
        <f t="shared" si="156"/>
        <v>8.2000000000000003E-2</v>
      </c>
      <c r="H87" s="221">
        <f t="shared" si="105"/>
        <v>2.6240000000000001</v>
      </c>
      <c r="I87" s="221">
        <f t="shared" si="174"/>
        <v>1.3120000000000001</v>
      </c>
      <c r="J87" s="551">
        <f t="shared" si="106"/>
        <v>32</v>
      </c>
      <c r="K87" s="451">
        <f t="shared" si="107"/>
        <v>19.584</v>
      </c>
      <c r="L87" s="451">
        <f t="shared" si="108"/>
        <v>51.584000000000003</v>
      </c>
      <c r="M87" s="451"/>
      <c r="N87" s="221">
        <f t="shared" si="109"/>
        <v>0.37965260545905705</v>
      </c>
      <c r="O87" s="176">
        <f t="shared" si="157"/>
        <v>5.4669975186104214</v>
      </c>
      <c r="P87" s="176">
        <f t="shared" si="110"/>
        <v>2.7334987593052107</v>
      </c>
      <c r="Q87" s="221">
        <f t="shared" si="111"/>
        <v>0.34168734491315134</v>
      </c>
      <c r="R87" s="221">
        <f t="shared" si="112"/>
        <v>0.34168734491315134</v>
      </c>
      <c r="S87" s="451">
        <f t="shared" si="113"/>
        <v>16</v>
      </c>
      <c r="T87" s="221">
        <f t="shared" si="114"/>
        <v>0.71995642701525064</v>
      </c>
      <c r="U87" s="221">
        <f t="shared" si="115"/>
        <v>0.67495915032679754</v>
      </c>
      <c r="V87" s="221">
        <f t="shared" si="116"/>
        <v>1.1028744286385581</v>
      </c>
      <c r="W87" s="201">
        <f t="shared" si="117"/>
        <v>350</v>
      </c>
      <c r="X87" s="451">
        <f t="shared" si="158"/>
        <v>350</v>
      </c>
      <c r="Z87" s="221">
        <f t="shared" si="118"/>
        <v>1.1570365118752215</v>
      </c>
      <c r="AA87" s="177">
        <f t="shared" si="119"/>
        <v>1.7724211272598367</v>
      </c>
      <c r="AB87" s="177">
        <f t="shared" si="120"/>
        <v>0.2871058342122137</v>
      </c>
      <c r="AC87" s="177"/>
      <c r="AD87" s="177">
        <f t="shared" si="121"/>
        <v>0.4595588235294118</v>
      </c>
      <c r="AE87" s="555">
        <f t="shared" si="122"/>
        <v>2973.8666666666677</v>
      </c>
      <c r="AF87" s="538">
        <f t="shared" si="123"/>
        <v>1.9301470588235291E-2</v>
      </c>
      <c r="AH87" s="177">
        <f t="shared" si="124"/>
        <v>0.86586043085146558</v>
      </c>
      <c r="AI87" s="177">
        <f t="shared" si="125"/>
        <v>0.86586043085146558</v>
      </c>
      <c r="AJ87" s="177">
        <f t="shared" si="126"/>
        <v>1.6191558747047894</v>
      </c>
      <c r="AL87" s="555">
        <f t="shared" si="127"/>
        <v>164</v>
      </c>
      <c r="AM87" s="469">
        <f t="shared" si="128"/>
        <v>350</v>
      </c>
      <c r="AO87">
        <f t="shared" si="159"/>
        <v>164</v>
      </c>
      <c r="AP87">
        <f t="shared" si="129"/>
        <v>350</v>
      </c>
      <c r="AR87" s="5">
        <f t="shared" si="160"/>
        <v>2.8571428571428572</v>
      </c>
      <c r="AS87" s="5">
        <f t="shared" si="130"/>
        <v>0.81174415392324906</v>
      </c>
      <c r="AT87" s="5">
        <f t="shared" si="161"/>
        <v>2.0453987032196084</v>
      </c>
      <c r="AU87" s="177">
        <f t="shared" si="162"/>
        <v>0.28411045387313716</v>
      </c>
      <c r="AW87" s="5">
        <f t="shared" si="131"/>
        <v>0.80504166666666677</v>
      </c>
      <c r="AX87" s="5">
        <f t="shared" si="132"/>
        <v>1.3580960266666666</v>
      </c>
      <c r="AY87" s="5">
        <f t="shared" si="133"/>
        <v>0.20126041666666669</v>
      </c>
      <c r="AZ87" s="5">
        <f t="shared" si="134"/>
        <v>1.1482000303030302</v>
      </c>
      <c r="BA87" s="5">
        <f t="shared" si="135"/>
        <v>0.1747111392333415</v>
      </c>
      <c r="BB87" s="469">
        <f t="shared" si="136"/>
        <v>28.363782277334646</v>
      </c>
      <c r="BC87" s="5"/>
      <c r="BD87" s="177">
        <f t="shared" si="163"/>
        <v>0.26645929394528572</v>
      </c>
      <c r="BE87" s="177">
        <f t="shared" si="137"/>
        <v>0.33837655386856025</v>
      </c>
      <c r="BF87" s="177">
        <f t="shared" si="138"/>
        <v>0.16918827693428012</v>
      </c>
      <c r="BG87" s="177"/>
      <c r="BH87" s="538">
        <f t="shared" si="139"/>
        <v>2.4850194365437062E-2</v>
      </c>
      <c r="BI87" s="538">
        <f t="shared" si="140"/>
        <v>7.8162952813823516E-2</v>
      </c>
      <c r="BJ87" s="538">
        <f t="shared" si="141"/>
        <v>4.3749999999999995E-3</v>
      </c>
      <c r="BK87" s="538">
        <f t="shared" si="142"/>
        <v>4.6565908480000008E-2</v>
      </c>
      <c r="BL87">
        <f t="shared" si="143"/>
        <v>9.2800000000000001E-3</v>
      </c>
      <c r="BM87">
        <f t="shared" si="144"/>
        <v>2.3625000000000002E-5</v>
      </c>
      <c r="BN87">
        <f t="shared" si="145"/>
        <v>0.16737987031482374</v>
      </c>
      <c r="BO87" s="469">
        <f t="shared" si="164"/>
        <v>167.37987031482373</v>
      </c>
      <c r="BP87" s="177">
        <f t="shared" si="146"/>
        <v>0.10638650042344175</v>
      </c>
      <c r="BQ87" s="177">
        <f t="shared" si="147"/>
        <v>4.2258625105860433E-2</v>
      </c>
      <c r="BR87" s="538"/>
      <c r="BT87" s="469">
        <f t="shared" si="165"/>
        <v>148.64512552930216</v>
      </c>
      <c r="BU87" s="538">
        <f t="shared" si="148"/>
        <v>7.100055532982018E-3</v>
      </c>
      <c r="BV87" s="538">
        <f t="shared" si="149"/>
        <v>3.4349607662388796E-3</v>
      </c>
      <c r="BW87" s="538">
        <f t="shared" si="150"/>
        <v>1.4312336525995333E-3</v>
      </c>
      <c r="BX87" s="538">
        <f t="shared" si="151"/>
        <v>0</v>
      </c>
      <c r="BY87" s="538">
        <f t="shared" si="152"/>
        <v>1.3415042165852549E-2</v>
      </c>
      <c r="BZ87" s="538">
        <f t="shared" si="166"/>
        <v>1.1966249951820431E-2</v>
      </c>
      <c r="CA87" s="641">
        <f t="shared" si="153"/>
        <v>1.3119999999999998E-2</v>
      </c>
      <c r="CB87" s="469">
        <f t="shared" si="167"/>
        <v>26.535042165852548</v>
      </c>
      <c r="CC87" s="177">
        <f t="shared" si="168"/>
        <v>0.34256003800997847</v>
      </c>
      <c r="CD87" s="5">
        <f t="shared" si="169"/>
        <v>3.9359999999999999</v>
      </c>
      <c r="CE87" s="177">
        <f t="shared" si="170"/>
        <v>0.91993567112142061</v>
      </c>
      <c r="CF87" s="5">
        <f t="shared" si="171"/>
        <v>91.99356711214206</v>
      </c>
      <c r="CG87">
        <f t="shared" si="172"/>
        <v>82</v>
      </c>
      <c r="CI87" s="571">
        <f t="shared" si="154"/>
        <v>-50</v>
      </c>
      <c r="CJ87">
        <f t="shared" si="155"/>
        <v>-50</v>
      </c>
    </row>
    <row r="88" spans="5:88" x14ac:dyDescent="0.25">
      <c r="E88" s="174">
        <v>83</v>
      </c>
      <c r="F88" s="221">
        <f t="shared" si="173"/>
        <v>0.16600000000000001</v>
      </c>
      <c r="G88" s="221">
        <f t="shared" si="156"/>
        <v>8.3000000000000004E-2</v>
      </c>
      <c r="H88" s="221">
        <f t="shared" si="105"/>
        <v>2.6560000000000001</v>
      </c>
      <c r="I88" s="221">
        <f t="shared" si="174"/>
        <v>1.3280000000000001</v>
      </c>
      <c r="J88" s="551">
        <f t="shared" si="106"/>
        <v>32</v>
      </c>
      <c r="K88" s="451">
        <f t="shared" si="107"/>
        <v>19.584</v>
      </c>
      <c r="L88" s="451">
        <f t="shared" si="108"/>
        <v>51.584000000000003</v>
      </c>
      <c r="M88" s="451"/>
      <c r="N88" s="221">
        <f t="shared" si="109"/>
        <v>0.37965260545905705</v>
      </c>
      <c r="O88" s="176">
        <f t="shared" si="157"/>
        <v>5.4669975186104214</v>
      </c>
      <c r="P88" s="176">
        <f t="shared" si="110"/>
        <v>2.7334987593052107</v>
      </c>
      <c r="Q88" s="221">
        <f t="shared" si="111"/>
        <v>0.34168734491315134</v>
      </c>
      <c r="R88" s="221">
        <f t="shared" si="112"/>
        <v>0.34168734491315134</v>
      </c>
      <c r="S88" s="451">
        <f t="shared" si="113"/>
        <v>16</v>
      </c>
      <c r="T88" s="221">
        <f t="shared" si="114"/>
        <v>0.72873638344226588</v>
      </c>
      <c r="U88" s="221">
        <f t="shared" si="115"/>
        <v>0.68319035947712425</v>
      </c>
      <c r="V88" s="221">
        <f t="shared" si="116"/>
        <v>1.1163241167926867</v>
      </c>
      <c r="W88" s="201">
        <f t="shared" si="117"/>
        <v>350</v>
      </c>
      <c r="X88" s="451">
        <f t="shared" si="158"/>
        <v>350</v>
      </c>
      <c r="Z88" s="221">
        <f t="shared" si="118"/>
        <v>1.1570365118752215</v>
      </c>
      <c r="AA88" s="177">
        <f t="shared" si="119"/>
        <v>1.7724211272598367</v>
      </c>
      <c r="AB88" s="177">
        <f t="shared" si="120"/>
        <v>0.2871058342122137</v>
      </c>
      <c r="AC88" s="177"/>
      <c r="AD88" s="177">
        <f t="shared" si="121"/>
        <v>0.4595588235294118</v>
      </c>
      <c r="AE88" s="555">
        <f t="shared" si="122"/>
        <v>3010.1333333333337</v>
      </c>
      <c r="AF88" s="538">
        <f t="shared" si="123"/>
        <v>1.9301470588235291E-2</v>
      </c>
      <c r="AH88" s="177">
        <f t="shared" si="124"/>
        <v>0.87112406857872027</v>
      </c>
      <c r="AI88" s="177">
        <f t="shared" si="125"/>
        <v>0.87112406857872027</v>
      </c>
      <c r="AJ88" s="177">
        <f t="shared" si="126"/>
        <v>1.6230548656138668</v>
      </c>
      <c r="AL88" s="555">
        <f t="shared" si="127"/>
        <v>166</v>
      </c>
      <c r="AM88" s="469">
        <f t="shared" si="128"/>
        <v>350</v>
      </c>
      <c r="AO88">
        <f t="shared" si="159"/>
        <v>166</v>
      </c>
      <c r="AP88">
        <f t="shared" si="129"/>
        <v>350</v>
      </c>
      <c r="AR88" s="5">
        <f t="shared" si="160"/>
        <v>2.8571428571428572</v>
      </c>
      <c r="AS88" s="5">
        <f t="shared" si="130"/>
        <v>0.81667881429255029</v>
      </c>
      <c r="AT88" s="5">
        <f t="shared" si="161"/>
        <v>2.0404640428503069</v>
      </c>
      <c r="AU88" s="177">
        <f t="shared" si="162"/>
        <v>0.28583758500239259</v>
      </c>
      <c r="AW88" s="5">
        <f t="shared" si="131"/>
        <v>0.80504166666666677</v>
      </c>
      <c r="AX88" s="5">
        <f t="shared" si="132"/>
        <v>1.3853491266666667</v>
      </c>
      <c r="AY88" s="5">
        <f t="shared" si="133"/>
        <v>0.20126041666666669</v>
      </c>
      <c r="AZ88" s="5">
        <f t="shared" si="134"/>
        <v>1.1743512803030303</v>
      </c>
      <c r="BA88" s="5">
        <f t="shared" si="135"/>
        <v>0.17641512037143278</v>
      </c>
      <c r="BB88" s="469">
        <f t="shared" si="136"/>
        <v>28.641419259429245</v>
      </c>
      <c r="BC88" s="5"/>
      <c r="BD88" s="177">
        <f t="shared" si="163"/>
        <v>0.26889272524937113</v>
      </c>
      <c r="BE88" s="177">
        <f t="shared" si="137"/>
        <v>0.3400226658424732</v>
      </c>
      <c r="BF88" s="177">
        <f t="shared" si="138"/>
        <v>0.1700113329212366</v>
      </c>
      <c r="BG88" s="177"/>
      <c r="BH88" s="538">
        <f t="shared" si="139"/>
        <v>2.5306154192211827E-2</v>
      </c>
      <c r="BI88" s="538">
        <f t="shared" si="140"/>
        <v>7.8638111918738249E-2</v>
      </c>
      <c r="BJ88" s="538">
        <f t="shared" si="141"/>
        <v>4.3749999999999995E-3</v>
      </c>
      <c r="BK88" s="538">
        <f t="shared" si="142"/>
        <v>4.6565908480000008E-2</v>
      </c>
      <c r="BL88">
        <f t="shared" si="143"/>
        <v>9.2800000000000001E-3</v>
      </c>
      <c r="BM88">
        <f t="shared" si="144"/>
        <v>2.3625000000000002E-5</v>
      </c>
      <c r="BN88">
        <f t="shared" si="145"/>
        <v>0.1683913471564191</v>
      </c>
      <c r="BO88" s="469">
        <f t="shared" si="164"/>
        <v>168.3913471564191</v>
      </c>
      <c r="BP88" s="177">
        <f t="shared" si="146"/>
        <v>0.10757708787548968</v>
      </c>
      <c r="BQ88" s="177">
        <f t="shared" si="147"/>
        <v>4.2747271968872423E-2</v>
      </c>
      <c r="BR88" s="538"/>
      <c r="BT88" s="469">
        <f t="shared" si="165"/>
        <v>150.32435984436211</v>
      </c>
      <c r="BU88" s="538">
        <f t="shared" si="148"/>
        <v>7.2303297692033796E-3</v>
      </c>
      <c r="BV88" s="538">
        <f t="shared" si="149"/>
        <v>3.4684623985986656E-3</v>
      </c>
      <c r="BW88" s="538">
        <f t="shared" si="150"/>
        <v>1.4451926660827776E-3</v>
      </c>
      <c r="BX88" s="538">
        <f t="shared" si="151"/>
        <v>0</v>
      </c>
      <c r="BY88" s="538">
        <f t="shared" si="152"/>
        <v>1.361448974651122E-2</v>
      </c>
      <c r="BZ88" s="538">
        <f t="shared" si="166"/>
        <v>1.2143984833884822E-2</v>
      </c>
      <c r="CA88" s="641">
        <f t="shared" si="153"/>
        <v>1.3280000000000004E-2</v>
      </c>
      <c r="CB88" s="469">
        <f t="shared" si="167"/>
        <v>26.894489746511223</v>
      </c>
      <c r="CC88" s="177">
        <f t="shared" si="168"/>
        <v>0.34561019674729238</v>
      </c>
      <c r="CD88" s="5">
        <f t="shared" si="169"/>
        <v>3.984</v>
      </c>
      <c r="CE88" s="177">
        <f t="shared" si="170"/>
        <v>0.92017521646476652</v>
      </c>
      <c r="CF88" s="5">
        <f t="shared" si="171"/>
        <v>92.017521646476652</v>
      </c>
      <c r="CG88">
        <f t="shared" si="172"/>
        <v>83</v>
      </c>
      <c r="CI88" s="571">
        <f t="shared" si="154"/>
        <v>-50</v>
      </c>
      <c r="CJ88">
        <f t="shared" si="155"/>
        <v>-50</v>
      </c>
    </row>
    <row r="89" spans="5:88" x14ac:dyDescent="0.25">
      <c r="E89" s="174">
        <v>84</v>
      </c>
      <c r="F89" s="221">
        <f t="shared" si="173"/>
        <v>0.16800000000000001</v>
      </c>
      <c r="G89" s="221">
        <f t="shared" si="156"/>
        <v>8.4000000000000005E-2</v>
      </c>
      <c r="H89" s="221">
        <f t="shared" si="105"/>
        <v>2.6880000000000002</v>
      </c>
      <c r="I89" s="221">
        <f t="shared" si="174"/>
        <v>1.3440000000000001</v>
      </c>
      <c r="J89" s="551">
        <f t="shared" si="106"/>
        <v>32</v>
      </c>
      <c r="K89" s="451">
        <f t="shared" si="107"/>
        <v>19.584</v>
      </c>
      <c r="L89" s="451">
        <f t="shared" si="108"/>
        <v>51.584000000000003</v>
      </c>
      <c r="M89" s="451"/>
      <c r="N89" s="221">
        <f t="shared" si="109"/>
        <v>0.37965260545905705</v>
      </c>
      <c r="O89" s="176">
        <f t="shared" si="157"/>
        <v>5.4669975186104214</v>
      </c>
      <c r="P89" s="176">
        <f t="shared" si="110"/>
        <v>2.7334987593052107</v>
      </c>
      <c r="Q89" s="221">
        <f t="shared" si="111"/>
        <v>0.34168734491315134</v>
      </c>
      <c r="R89" s="221">
        <f t="shared" si="112"/>
        <v>0.34168734491315134</v>
      </c>
      <c r="S89" s="451">
        <f t="shared" si="113"/>
        <v>16</v>
      </c>
      <c r="T89" s="221">
        <f t="shared" si="114"/>
        <v>0.73751633986928111</v>
      </c>
      <c r="U89" s="221">
        <f t="shared" si="115"/>
        <v>0.69142156862745108</v>
      </c>
      <c r="V89" s="221">
        <f t="shared" si="116"/>
        <v>1.1297738049468153</v>
      </c>
      <c r="W89" s="201">
        <f t="shared" si="117"/>
        <v>350</v>
      </c>
      <c r="X89" s="451">
        <f t="shared" si="158"/>
        <v>350</v>
      </c>
      <c r="Z89" s="221">
        <f t="shared" si="118"/>
        <v>1.1570365118752215</v>
      </c>
      <c r="AA89" s="177">
        <f t="shared" si="119"/>
        <v>1.7724211272598367</v>
      </c>
      <c r="AB89" s="177">
        <f t="shared" si="120"/>
        <v>0.2871058342122137</v>
      </c>
      <c r="AC89" s="177"/>
      <c r="AD89" s="177">
        <f t="shared" si="121"/>
        <v>0.4595588235294118</v>
      </c>
      <c r="AE89" s="555">
        <f t="shared" si="122"/>
        <v>3046.400000000001</v>
      </c>
      <c r="AF89" s="538">
        <f t="shared" si="123"/>
        <v>1.9301470588235291E-2</v>
      </c>
      <c r="AH89" s="177">
        <f t="shared" si="124"/>
        <v>0.87635609200826581</v>
      </c>
      <c r="AI89" s="177">
        <f t="shared" si="125"/>
        <v>0.87635609200826581</v>
      </c>
      <c r="AJ89" s="177">
        <f t="shared" si="126"/>
        <v>1.6269304385246413</v>
      </c>
      <c r="AL89" s="555">
        <f t="shared" si="127"/>
        <v>168</v>
      </c>
      <c r="AM89" s="469">
        <f t="shared" si="128"/>
        <v>350</v>
      </c>
      <c r="AO89">
        <f t="shared" si="159"/>
        <v>168</v>
      </c>
      <c r="AP89">
        <f t="shared" si="129"/>
        <v>350</v>
      </c>
      <c r="AR89" s="5">
        <f t="shared" si="160"/>
        <v>2.8571428571428572</v>
      </c>
      <c r="AS89" s="5">
        <f t="shared" si="130"/>
        <v>0.82158383625774922</v>
      </c>
      <c r="AT89" s="5">
        <f t="shared" si="161"/>
        <v>2.035559020885108</v>
      </c>
      <c r="AU89" s="177">
        <f t="shared" si="162"/>
        <v>0.28755434269021224</v>
      </c>
      <c r="AW89" s="5">
        <f t="shared" si="131"/>
        <v>0.80504166666666677</v>
      </c>
      <c r="AX89" s="5">
        <f t="shared" si="132"/>
        <v>1.4128598399999999</v>
      </c>
      <c r="AY89" s="5">
        <f t="shared" si="133"/>
        <v>0.20126041666666669</v>
      </c>
      <c r="AZ89" s="5">
        <f t="shared" si="134"/>
        <v>1.2007952727272724</v>
      </c>
      <c r="BA89" s="5">
        <f t="shared" si="135"/>
        <v>0.17811141432744693</v>
      </c>
      <c r="BB89" s="469">
        <f t="shared" si="136"/>
        <v>28.91782629239151</v>
      </c>
      <c r="BC89" s="5"/>
      <c r="BD89" s="177">
        <f t="shared" si="163"/>
        <v>0.27131883776968813</v>
      </c>
      <c r="BE89" s="177">
        <f t="shared" si="137"/>
        <v>0.34165347428884085</v>
      </c>
      <c r="BF89" s="177">
        <f t="shared" si="138"/>
        <v>0.17082673714442043</v>
      </c>
      <c r="BG89" s="177"/>
      <c r="BH89" s="538">
        <f t="shared" si="139"/>
        <v>2.5764869105043019E-2</v>
      </c>
      <c r="BI89" s="538">
        <f t="shared" si="140"/>
        <v>7.9110417137770173E-2</v>
      </c>
      <c r="BJ89" s="538">
        <f t="shared" si="141"/>
        <v>4.3749999999999995E-3</v>
      </c>
      <c r="BK89" s="538">
        <f t="shared" si="142"/>
        <v>4.6565908480000008E-2</v>
      </c>
      <c r="BL89">
        <f t="shared" si="143"/>
        <v>9.2800000000000001E-3</v>
      </c>
      <c r="BM89">
        <f t="shared" si="144"/>
        <v>2.3625000000000002E-5</v>
      </c>
      <c r="BN89">
        <f t="shared" si="145"/>
        <v>0.16940335595338538</v>
      </c>
      <c r="BO89" s="469">
        <f t="shared" si="164"/>
        <v>169.40335595338539</v>
      </c>
      <c r="BP89" s="177">
        <f t="shared" si="146"/>
        <v>0.10876575086056883</v>
      </c>
      <c r="BQ89" s="177">
        <f t="shared" si="147"/>
        <v>4.3235437715142211E-2</v>
      </c>
      <c r="BR89" s="538"/>
      <c r="BT89" s="469">
        <f t="shared" si="165"/>
        <v>152.00118857571104</v>
      </c>
      <c r="BU89" s="538">
        <f t="shared" si="148"/>
        <v>7.361391172869435E-3</v>
      </c>
      <c r="BV89" s="538">
        <f t="shared" si="149"/>
        <v>3.5018128948090688E-3</v>
      </c>
      <c r="BW89" s="538">
        <f t="shared" si="150"/>
        <v>1.4590887061704456E-3</v>
      </c>
      <c r="BX89" s="538">
        <f t="shared" si="151"/>
        <v>0</v>
      </c>
      <c r="BY89" s="538">
        <f t="shared" si="152"/>
        <v>1.3814586096665436E-2</v>
      </c>
      <c r="BZ89" s="538">
        <f t="shared" si="166"/>
        <v>1.2322292773848949E-2</v>
      </c>
      <c r="CA89" s="641">
        <f t="shared" si="153"/>
        <v>1.3440000000000002E-2</v>
      </c>
      <c r="CB89" s="469">
        <f t="shared" si="167"/>
        <v>27.254586096665438</v>
      </c>
      <c r="CC89" s="177">
        <f t="shared" si="168"/>
        <v>0.34865913062576187</v>
      </c>
      <c r="CD89" s="5">
        <f t="shared" si="169"/>
        <v>4.032</v>
      </c>
      <c r="CE89" s="177">
        <f t="shared" si="170"/>
        <v>0.92040943606220338</v>
      </c>
      <c r="CF89" s="5">
        <f t="shared" si="171"/>
        <v>92.040943606220338</v>
      </c>
      <c r="CG89">
        <f t="shared" si="172"/>
        <v>84</v>
      </c>
      <c r="CI89" s="571">
        <f t="shared" si="154"/>
        <v>-50</v>
      </c>
      <c r="CJ89">
        <f t="shared" si="155"/>
        <v>-50</v>
      </c>
    </row>
    <row r="90" spans="5:88" x14ac:dyDescent="0.25">
      <c r="E90" s="174">
        <v>85</v>
      </c>
      <c r="F90" s="221">
        <f t="shared" si="173"/>
        <v>0.17</v>
      </c>
      <c r="G90" s="221">
        <f t="shared" si="156"/>
        <v>8.5000000000000006E-2</v>
      </c>
      <c r="H90" s="221">
        <f t="shared" si="105"/>
        <v>2.72</v>
      </c>
      <c r="I90" s="221">
        <f t="shared" si="174"/>
        <v>1.36</v>
      </c>
      <c r="J90" s="551">
        <f t="shared" si="106"/>
        <v>32</v>
      </c>
      <c r="K90" s="451">
        <f t="shared" si="107"/>
        <v>19.584</v>
      </c>
      <c r="L90" s="451">
        <f t="shared" si="108"/>
        <v>51.584000000000003</v>
      </c>
      <c r="M90" s="451"/>
      <c r="N90" s="221">
        <f t="shared" si="109"/>
        <v>0.37965260545905705</v>
      </c>
      <c r="O90" s="176">
        <f t="shared" si="157"/>
        <v>5.4669975186104214</v>
      </c>
      <c r="P90" s="176">
        <f t="shared" si="110"/>
        <v>2.7334987593052107</v>
      </c>
      <c r="Q90" s="221">
        <f t="shared" si="111"/>
        <v>0.34168734491315134</v>
      </c>
      <c r="R90" s="221">
        <f t="shared" si="112"/>
        <v>0.34168734491315134</v>
      </c>
      <c r="S90" s="451">
        <f t="shared" si="113"/>
        <v>16</v>
      </c>
      <c r="T90" s="221">
        <f t="shared" si="114"/>
        <v>0.74629629629629635</v>
      </c>
      <c r="U90" s="221">
        <f t="shared" si="115"/>
        <v>0.69965277777777779</v>
      </c>
      <c r="V90" s="221">
        <f t="shared" si="116"/>
        <v>1.1432234931009442</v>
      </c>
      <c r="W90" s="201">
        <f t="shared" si="117"/>
        <v>350</v>
      </c>
      <c r="X90" s="451">
        <f t="shared" si="158"/>
        <v>350</v>
      </c>
      <c r="Z90" s="221">
        <f t="shared" si="118"/>
        <v>1.1570365118752215</v>
      </c>
      <c r="AA90" s="177">
        <f t="shared" si="119"/>
        <v>1.7724211272598367</v>
      </c>
      <c r="AB90" s="177">
        <f t="shared" si="120"/>
        <v>0.2871058342122137</v>
      </c>
      <c r="AC90" s="177"/>
      <c r="AD90" s="177">
        <f t="shared" si="121"/>
        <v>0.4595588235294118</v>
      </c>
      <c r="AE90" s="555">
        <f t="shared" si="122"/>
        <v>3082.6666666666674</v>
      </c>
      <c r="AF90" s="538">
        <f t="shared" si="123"/>
        <v>1.9301470588235291E-2</v>
      </c>
      <c r="AH90" s="177">
        <f t="shared" si="124"/>
        <v>0.88155706403094358</v>
      </c>
      <c r="AI90" s="177">
        <f t="shared" si="125"/>
        <v>0.88155706403094358</v>
      </c>
      <c r="AJ90" s="177">
        <f t="shared" si="126"/>
        <v>1.6307830103932914</v>
      </c>
      <c r="AL90" s="555">
        <f t="shared" si="127"/>
        <v>170</v>
      </c>
      <c r="AM90" s="469">
        <f t="shared" si="128"/>
        <v>350</v>
      </c>
      <c r="AO90">
        <f t="shared" si="159"/>
        <v>170</v>
      </c>
      <c r="AP90">
        <f t="shared" si="129"/>
        <v>350</v>
      </c>
      <c r="AR90" s="5">
        <f t="shared" si="160"/>
        <v>2.8571428571428572</v>
      </c>
      <c r="AS90" s="5">
        <f t="shared" si="130"/>
        <v>0.82645974752900964</v>
      </c>
      <c r="AT90" s="5">
        <f t="shared" si="161"/>
        <v>2.0306831096138476</v>
      </c>
      <c r="AU90" s="177">
        <f t="shared" si="162"/>
        <v>0.28926091163515338</v>
      </c>
      <c r="AW90" s="5">
        <f t="shared" si="131"/>
        <v>0.80504166666666677</v>
      </c>
      <c r="AX90" s="5">
        <f t="shared" si="132"/>
        <v>1.4406281666666665</v>
      </c>
      <c r="AY90" s="5">
        <f t="shared" si="133"/>
        <v>0.20126041666666669</v>
      </c>
      <c r="AZ90" s="5">
        <f t="shared" si="134"/>
        <v>1.2275320075757574</v>
      </c>
      <c r="BA90" s="5">
        <f t="shared" si="135"/>
        <v>0.17980006699705942</v>
      </c>
      <c r="BB90" s="469">
        <f t="shared" si="136"/>
        <v>29.193010719529507</v>
      </c>
      <c r="BC90" s="5"/>
      <c r="BD90" s="177">
        <f t="shared" si="163"/>
        <v>0.27373774025996161</v>
      </c>
      <c r="BE90" s="177">
        <f t="shared" si="137"/>
        <v>0.34326924113178686</v>
      </c>
      <c r="BF90" s="177">
        <f t="shared" si="138"/>
        <v>0.17163462056589343</v>
      </c>
      <c r="BG90" s="177"/>
      <c r="BH90" s="538">
        <f t="shared" si="139"/>
        <v>2.6226322654920569E-2</v>
      </c>
      <c r="BI90" s="538">
        <f t="shared" si="140"/>
        <v>7.9579919284201342E-2</v>
      </c>
      <c r="BJ90" s="538">
        <f t="shared" si="141"/>
        <v>4.3749999999999995E-3</v>
      </c>
      <c r="BK90" s="538">
        <f t="shared" si="142"/>
        <v>4.6565908480000008E-2</v>
      </c>
      <c r="BL90">
        <f t="shared" si="143"/>
        <v>9.2800000000000001E-3</v>
      </c>
      <c r="BM90">
        <f t="shared" si="144"/>
        <v>2.3625000000000002E-5</v>
      </c>
      <c r="BN90">
        <f t="shared" si="145"/>
        <v>0.17041593017244566</v>
      </c>
      <c r="BO90" s="469">
        <f t="shared" si="164"/>
        <v>170.41593017244566</v>
      </c>
      <c r="BP90" s="177">
        <f t="shared" si="146"/>
        <v>0.10995250086854767</v>
      </c>
      <c r="BQ90" s="177">
        <f t="shared" si="147"/>
        <v>4.3723125217136921E-2</v>
      </c>
      <c r="BR90" s="538"/>
      <c r="BT90" s="469">
        <f t="shared" si="165"/>
        <v>153.67562608568457</v>
      </c>
      <c r="BU90" s="538">
        <f t="shared" si="148"/>
        <v>7.4932350442630212E-3</v>
      </c>
      <c r="BV90" s="538">
        <f t="shared" si="149"/>
        <v>3.5350131572157851E-3</v>
      </c>
      <c r="BW90" s="538">
        <f t="shared" si="150"/>
        <v>1.4729221488399107E-3</v>
      </c>
      <c r="BX90" s="538">
        <f t="shared" si="151"/>
        <v>0</v>
      </c>
      <c r="BY90" s="538">
        <f t="shared" si="152"/>
        <v>1.4015327432016413E-2</v>
      </c>
      <c r="BZ90" s="538">
        <f t="shared" si="166"/>
        <v>1.2501170350318717E-2</v>
      </c>
      <c r="CA90" s="641">
        <f t="shared" si="153"/>
        <v>1.3600000000000003E-2</v>
      </c>
      <c r="CB90" s="469">
        <f t="shared" si="167"/>
        <v>27.615327432016418</v>
      </c>
      <c r="CC90" s="177">
        <f t="shared" si="168"/>
        <v>0.35170688369014663</v>
      </c>
      <c r="CD90" s="5">
        <f t="shared" si="169"/>
        <v>4.08</v>
      </c>
      <c r="CE90" s="177">
        <f t="shared" si="170"/>
        <v>0.9206385050002921</v>
      </c>
      <c r="CF90" s="5">
        <f t="shared" si="171"/>
        <v>92.063850500029204</v>
      </c>
      <c r="CG90">
        <f t="shared" si="172"/>
        <v>85</v>
      </c>
      <c r="CI90" s="571">
        <f t="shared" si="154"/>
        <v>-50</v>
      </c>
      <c r="CJ90">
        <f t="shared" si="155"/>
        <v>-50</v>
      </c>
    </row>
    <row r="91" spans="5:88" x14ac:dyDescent="0.25">
      <c r="E91" s="174">
        <v>86</v>
      </c>
      <c r="F91" s="221">
        <f t="shared" si="173"/>
        <v>0.17200000000000001</v>
      </c>
      <c r="G91" s="221">
        <f t="shared" si="156"/>
        <v>8.6000000000000007E-2</v>
      </c>
      <c r="H91" s="221">
        <f t="shared" si="105"/>
        <v>2.7520000000000002</v>
      </c>
      <c r="I91" s="221">
        <f t="shared" si="174"/>
        <v>1.3760000000000001</v>
      </c>
      <c r="J91" s="551">
        <f t="shared" si="106"/>
        <v>32</v>
      </c>
      <c r="K91" s="451">
        <f t="shared" si="107"/>
        <v>19.584</v>
      </c>
      <c r="L91" s="451">
        <f t="shared" si="108"/>
        <v>51.584000000000003</v>
      </c>
      <c r="M91" s="451"/>
      <c r="N91" s="221">
        <f t="shared" si="109"/>
        <v>0.37965260545905705</v>
      </c>
      <c r="O91" s="176">
        <f t="shared" si="157"/>
        <v>5.4669975186104214</v>
      </c>
      <c r="P91" s="176">
        <f t="shared" si="110"/>
        <v>2.7334987593052107</v>
      </c>
      <c r="Q91" s="221">
        <f t="shared" si="111"/>
        <v>0.34168734491315134</v>
      </c>
      <c r="R91" s="221">
        <f t="shared" si="112"/>
        <v>0.34168734491315134</v>
      </c>
      <c r="S91" s="451">
        <f t="shared" si="113"/>
        <v>16</v>
      </c>
      <c r="T91" s="221">
        <f t="shared" si="114"/>
        <v>0.75507625272331158</v>
      </c>
      <c r="U91" s="221">
        <f t="shared" si="115"/>
        <v>0.70788398692810461</v>
      </c>
      <c r="V91" s="221">
        <f t="shared" si="116"/>
        <v>1.156673181255073</v>
      </c>
      <c r="W91" s="201">
        <f t="shared" si="117"/>
        <v>350</v>
      </c>
      <c r="X91" s="451">
        <f t="shared" si="158"/>
        <v>350</v>
      </c>
      <c r="Z91" s="221">
        <f t="shared" si="118"/>
        <v>1.1570365118752215</v>
      </c>
      <c r="AA91" s="177">
        <f t="shared" si="119"/>
        <v>1.7724211272598367</v>
      </c>
      <c r="AB91" s="177">
        <f t="shared" si="120"/>
        <v>0.2871058342122137</v>
      </c>
      <c r="AC91" s="177"/>
      <c r="AD91" s="177">
        <f t="shared" si="121"/>
        <v>0.4595588235294118</v>
      </c>
      <c r="AE91" s="555">
        <f t="shared" si="122"/>
        <v>3118.9333333333343</v>
      </c>
      <c r="AF91" s="538">
        <f t="shared" si="123"/>
        <v>1.9301470588235291E-2</v>
      </c>
      <c r="AH91" s="177">
        <f t="shared" si="124"/>
        <v>0.88672753102952329</v>
      </c>
      <c r="AI91" s="177">
        <f t="shared" si="125"/>
        <v>0.88672753102952329</v>
      </c>
      <c r="AJ91" s="177">
        <f t="shared" si="126"/>
        <v>1.6346129859477949</v>
      </c>
      <c r="AL91" s="555">
        <f t="shared" si="127"/>
        <v>172</v>
      </c>
      <c r="AM91" s="469">
        <f t="shared" si="128"/>
        <v>350</v>
      </c>
      <c r="AO91">
        <f t="shared" si="159"/>
        <v>172</v>
      </c>
      <c r="AP91">
        <f t="shared" si="129"/>
        <v>350</v>
      </c>
      <c r="AR91" s="5">
        <f t="shared" si="160"/>
        <v>2.8571428571428572</v>
      </c>
      <c r="AS91" s="5">
        <f t="shared" si="130"/>
        <v>0.83130706034017809</v>
      </c>
      <c r="AT91" s="5">
        <f t="shared" si="161"/>
        <v>2.0258357968026792</v>
      </c>
      <c r="AU91" s="177">
        <f t="shared" si="162"/>
        <v>0.29095747111906234</v>
      </c>
      <c r="AW91" s="5">
        <f t="shared" si="131"/>
        <v>0.80504166666666677</v>
      </c>
      <c r="AX91" s="5">
        <f t="shared" si="132"/>
        <v>1.4686541066666665</v>
      </c>
      <c r="AY91" s="5">
        <f t="shared" si="133"/>
        <v>0.20126041666666669</v>
      </c>
      <c r="AZ91" s="5">
        <f t="shared" si="134"/>
        <v>1.2545614848484847</v>
      </c>
      <c r="BA91" s="5">
        <f t="shared" si="135"/>
        <v>0.18148112346357334</v>
      </c>
      <c r="BB91" s="469">
        <f t="shared" si="136"/>
        <v>29.466979754171735</v>
      </c>
      <c r="BC91" s="5"/>
      <c r="BD91" s="177">
        <f t="shared" si="163"/>
        <v>0.27614953859917818</v>
      </c>
      <c r="BE91" s="177">
        <f t="shared" si="137"/>
        <v>0.34487022062376937</v>
      </c>
      <c r="BF91" s="177">
        <f t="shared" si="138"/>
        <v>0.17243511031188469</v>
      </c>
      <c r="BG91" s="177"/>
      <c r="BH91" s="538">
        <f t="shared" si="139"/>
        <v>2.669049868398865E-2</v>
      </c>
      <c r="BI91" s="538">
        <f t="shared" si="140"/>
        <v>8.0046667681097139E-2</v>
      </c>
      <c r="BJ91" s="538">
        <f t="shared" si="141"/>
        <v>4.3749999999999995E-3</v>
      </c>
      <c r="BK91" s="538">
        <f t="shared" si="142"/>
        <v>4.6565908480000008E-2</v>
      </c>
      <c r="BL91">
        <f t="shared" si="143"/>
        <v>9.2800000000000001E-3</v>
      </c>
      <c r="BM91">
        <f t="shared" si="144"/>
        <v>2.3625000000000002E-5</v>
      </c>
      <c r="BN91">
        <f t="shared" si="145"/>
        <v>0.17142910212487431</v>
      </c>
      <c r="BO91" s="469">
        <f t="shared" si="164"/>
        <v>171.4291021248743</v>
      </c>
      <c r="BP91" s="177">
        <f t="shared" si="146"/>
        <v>0.11113734918591939</v>
      </c>
      <c r="BQ91" s="177">
        <f t="shared" si="147"/>
        <v>4.421033729647985E-2</v>
      </c>
      <c r="BR91" s="538"/>
      <c r="BT91" s="469">
        <f t="shared" si="165"/>
        <v>155.34768648239924</v>
      </c>
      <c r="BU91" s="538">
        <f t="shared" si="148"/>
        <v>7.6258567668539001E-3</v>
      </c>
      <c r="BV91" s="538">
        <f t="shared" si="149"/>
        <v>3.5680640721926205E-3</v>
      </c>
      <c r="BW91" s="538">
        <f t="shared" si="150"/>
        <v>1.4866933634135921E-3</v>
      </c>
      <c r="BX91" s="538">
        <f t="shared" si="151"/>
        <v>0</v>
      </c>
      <c r="BY91" s="538">
        <f t="shared" si="152"/>
        <v>1.421671003597088E-2</v>
      </c>
      <c r="BZ91" s="538">
        <f t="shared" si="166"/>
        <v>1.2680614202460113E-2</v>
      </c>
      <c r="CA91" s="641">
        <f t="shared" si="153"/>
        <v>1.3759999999999998E-2</v>
      </c>
      <c r="CB91" s="469">
        <f t="shared" si="167"/>
        <v>27.976710035970878</v>
      </c>
      <c r="CC91" s="177">
        <f t="shared" si="168"/>
        <v>0.3547534986432444</v>
      </c>
      <c r="CD91" s="5">
        <f t="shared" si="169"/>
        <v>4.1280000000000001</v>
      </c>
      <c r="CE91" s="177">
        <f t="shared" si="170"/>
        <v>0.92086259064866838</v>
      </c>
      <c r="CF91" s="5">
        <f t="shared" si="171"/>
        <v>92.086259064866837</v>
      </c>
      <c r="CG91">
        <f t="shared" si="172"/>
        <v>86</v>
      </c>
      <c r="CI91" s="571">
        <f t="shared" si="154"/>
        <v>-50</v>
      </c>
      <c r="CJ91">
        <f t="shared" si="155"/>
        <v>-50</v>
      </c>
    </row>
    <row r="92" spans="5:88" x14ac:dyDescent="0.25">
      <c r="E92" s="174">
        <v>87</v>
      </c>
      <c r="F92" s="221">
        <f t="shared" si="173"/>
        <v>0.17400000000000002</v>
      </c>
      <c r="G92" s="221">
        <f t="shared" si="156"/>
        <v>8.7000000000000008E-2</v>
      </c>
      <c r="H92" s="221">
        <f t="shared" si="105"/>
        <v>2.7840000000000003</v>
      </c>
      <c r="I92" s="221">
        <f t="shared" si="174"/>
        <v>1.3920000000000001</v>
      </c>
      <c r="J92" s="551">
        <f t="shared" si="106"/>
        <v>32</v>
      </c>
      <c r="K92" s="451">
        <f t="shared" si="107"/>
        <v>19.584</v>
      </c>
      <c r="L92" s="451">
        <f t="shared" si="108"/>
        <v>51.584000000000003</v>
      </c>
      <c r="M92" s="451"/>
      <c r="N92" s="221">
        <f t="shared" si="109"/>
        <v>0.37965260545905705</v>
      </c>
      <c r="O92" s="176">
        <f t="shared" si="157"/>
        <v>5.4669975186104214</v>
      </c>
      <c r="P92" s="176">
        <f t="shared" si="110"/>
        <v>2.7334987593052107</v>
      </c>
      <c r="Q92" s="221">
        <f t="shared" si="111"/>
        <v>0.34168734491315134</v>
      </c>
      <c r="R92" s="221">
        <f t="shared" si="112"/>
        <v>0.34168734491315134</v>
      </c>
      <c r="S92" s="451">
        <f t="shared" si="113"/>
        <v>16</v>
      </c>
      <c r="T92" s="221">
        <f t="shared" si="114"/>
        <v>0.76385620915032693</v>
      </c>
      <c r="U92" s="221">
        <f t="shared" si="115"/>
        <v>0.71611519607843155</v>
      </c>
      <c r="V92" s="221">
        <f t="shared" si="116"/>
        <v>1.1701228694092018</v>
      </c>
      <c r="W92" s="201">
        <f t="shared" si="117"/>
        <v>350</v>
      </c>
      <c r="X92" s="451">
        <f t="shared" si="158"/>
        <v>350</v>
      </c>
      <c r="Z92" s="221">
        <f t="shared" si="118"/>
        <v>1.1570365118752215</v>
      </c>
      <c r="AA92" s="177">
        <f t="shared" si="119"/>
        <v>1.7724211272598367</v>
      </c>
      <c r="AB92" s="177">
        <f t="shared" si="120"/>
        <v>0.2871058342122137</v>
      </c>
      <c r="AC92" s="177"/>
      <c r="AD92" s="177">
        <f t="shared" si="121"/>
        <v>0.4595588235294118</v>
      </c>
      <c r="AE92" s="555">
        <f t="shared" si="122"/>
        <v>3155.2000000000007</v>
      </c>
      <c r="AF92" s="538">
        <f t="shared" si="123"/>
        <v>1.9301470588235291E-2</v>
      </c>
      <c r="AH92" s="177">
        <f t="shared" si="124"/>
        <v>0.8918680235486478</v>
      </c>
      <c r="AI92" s="177">
        <f t="shared" si="125"/>
        <v>0.8918680235486478</v>
      </c>
      <c r="AJ92" s="177">
        <f t="shared" si="126"/>
        <v>1.6384207581841834</v>
      </c>
      <c r="AL92" s="555">
        <f t="shared" si="127"/>
        <v>174.00000000000003</v>
      </c>
      <c r="AM92" s="469">
        <f t="shared" si="128"/>
        <v>350</v>
      </c>
      <c r="AO92">
        <f t="shared" si="159"/>
        <v>174.00000000000003</v>
      </c>
      <c r="AP92">
        <f t="shared" si="129"/>
        <v>350</v>
      </c>
      <c r="AR92" s="5">
        <f t="shared" si="160"/>
        <v>2.8571428571428572</v>
      </c>
      <c r="AS92" s="5">
        <f t="shared" si="130"/>
        <v>0.83612627207685741</v>
      </c>
      <c r="AT92" s="5">
        <f t="shared" si="161"/>
        <v>2.0210165850659996</v>
      </c>
      <c r="AU92" s="177">
        <f t="shared" si="162"/>
        <v>0.29264419522690011</v>
      </c>
      <c r="AW92" s="5">
        <f t="shared" si="131"/>
        <v>0.80504166666666677</v>
      </c>
      <c r="AX92" s="5">
        <f t="shared" si="132"/>
        <v>1.4969376599999999</v>
      </c>
      <c r="AY92" s="5">
        <f t="shared" si="133"/>
        <v>0.20126041666666669</v>
      </c>
      <c r="AZ92" s="5">
        <f t="shared" si="134"/>
        <v>1.2818837045454543</v>
      </c>
      <c r="BA92" s="5">
        <f t="shared" si="135"/>
        <v>0.1831546280216062</v>
      </c>
      <c r="BB92" s="469">
        <f t="shared" si="136"/>
        <v>29.739740483456995</v>
      </c>
      <c r="BC92" s="5"/>
      <c r="BD92" s="177">
        <f t="shared" si="163"/>
        <v>0.278554335900076</v>
      </c>
      <c r="BE92" s="177">
        <f t="shared" si="137"/>
        <v>0.34645665965635564</v>
      </c>
      <c r="BF92" s="177">
        <f t="shared" si="138"/>
        <v>0.17322832982817782</v>
      </c>
      <c r="BG92" s="177"/>
      <c r="BH92" s="538">
        <f t="shared" si="139"/>
        <v>2.7157381317056327E-2</v>
      </c>
      <c r="BI92" s="538">
        <f t="shared" si="140"/>
        <v>8.0510710221783535E-2</v>
      </c>
      <c r="BJ92" s="538">
        <f t="shared" si="141"/>
        <v>4.3749999999999995E-3</v>
      </c>
      <c r="BK92" s="538">
        <f t="shared" si="142"/>
        <v>4.6565908480000008E-2</v>
      </c>
      <c r="BL92">
        <f t="shared" si="143"/>
        <v>9.2800000000000001E-3</v>
      </c>
      <c r="BM92">
        <f t="shared" si="144"/>
        <v>2.3625000000000002E-5</v>
      </c>
      <c r="BN92">
        <f t="shared" si="145"/>
        <v>0.17244290301724816</v>
      </c>
      <c r="BO92" s="469">
        <f t="shared" si="164"/>
        <v>172.44290301724814</v>
      </c>
      <c r="BP92" s="177">
        <f t="shared" si="146"/>
        <v>0.11232030690173163</v>
      </c>
      <c r="BQ92" s="177">
        <f t="shared" si="147"/>
        <v>4.469707672543291E-2</v>
      </c>
      <c r="BR92" s="538"/>
      <c r="BT92" s="469">
        <f t="shared" si="165"/>
        <v>157.01738362716455</v>
      </c>
      <c r="BU92" s="538">
        <f t="shared" si="148"/>
        <v>7.7592518048732366E-3</v>
      </c>
      <c r="BV92" s="538">
        <f t="shared" si="149"/>
        <v>3.6009665106071951E-3</v>
      </c>
      <c r="BW92" s="538">
        <f t="shared" si="150"/>
        <v>1.5004027127529982E-3</v>
      </c>
      <c r="BX92" s="538">
        <f t="shared" si="151"/>
        <v>0</v>
      </c>
      <c r="BY92" s="538">
        <f t="shared" si="152"/>
        <v>1.4418730257665616E-2</v>
      </c>
      <c r="BZ92" s="538">
        <f t="shared" si="166"/>
        <v>1.286062102823343E-2</v>
      </c>
      <c r="CA92" s="641">
        <f t="shared" si="153"/>
        <v>1.392E-2</v>
      </c>
      <c r="CB92" s="469">
        <f t="shared" si="167"/>
        <v>28.338730257665617</v>
      </c>
      <c r="CC92" s="177">
        <f t="shared" si="168"/>
        <v>0.35779901690207833</v>
      </c>
      <c r="CD92" s="5">
        <f t="shared" si="169"/>
        <v>4.1760000000000002</v>
      </c>
      <c r="CE92" s="177">
        <f t="shared" si="170"/>
        <v>0.92108185308431245</v>
      </c>
      <c r="CF92" s="5">
        <f t="shared" si="171"/>
        <v>92.108185308431246</v>
      </c>
      <c r="CG92">
        <f t="shared" si="172"/>
        <v>87</v>
      </c>
      <c r="CI92" s="571">
        <f t="shared" si="154"/>
        <v>-50</v>
      </c>
      <c r="CJ92">
        <f t="shared" si="155"/>
        <v>-50</v>
      </c>
    </row>
    <row r="93" spans="5:88" x14ac:dyDescent="0.25">
      <c r="E93" s="174">
        <v>88</v>
      </c>
      <c r="F93" s="221">
        <f t="shared" si="173"/>
        <v>0.17600000000000002</v>
      </c>
      <c r="G93" s="221">
        <f t="shared" si="156"/>
        <v>8.8000000000000009E-2</v>
      </c>
      <c r="H93" s="221">
        <f t="shared" si="105"/>
        <v>2.8160000000000003</v>
      </c>
      <c r="I93" s="221">
        <f t="shared" si="174"/>
        <v>1.4080000000000001</v>
      </c>
      <c r="J93" s="551">
        <f t="shared" si="106"/>
        <v>32</v>
      </c>
      <c r="K93" s="451">
        <f t="shared" si="107"/>
        <v>19.584</v>
      </c>
      <c r="L93" s="451">
        <f t="shared" si="108"/>
        <v>51.584000000000003</v>
      </c>
      <c r="M93" s="451"/>
      <c r="N93" s="221">
        <f t="shared" si="109"/>
        <v>0.37965260545905705</v>
      </c>
      <c r="O93" s="176">
        <f t="shared" si="157"/>
        <v>5.4669975186104214</v>
      </c>
      <c r="P93" s="176">
        <f t="shared" si="110"/>
        <v>2.7334987593052107</v>
      </c>
      <c r="Q93" s="221">
        <f t="shared" si="111"/>
        <v>0.34168734491315134</v>
      </c>
      <c r="R93" s="221">
        <f t="shared" si="112"/>
        <v>0.34168734491315134</v>
      </c>
      <c r="S93" s="451">
        <f t="shared" si="113"/>
        <v>16</v>
      </c>
      <c r="T93" s="221">
        <f t="shared" si="114"/>
        <v>0.77263616557734216</v>
      </c>
      <c r="U93" s="221">
        <f t="shared" si="115"/>
        <v>0.72434640522875826</v>
      </c>
      <c r="V93" s="221">
        <f t="shared" si="116"/>
        <v>1.1835725575633305</v>
      </c>
      <c r="W93" s="201">
        <f t="shared" si="117"/>
        <v>350</v>
      </c>
      <c r="X93" s="451">
        <f t="shared" si="158"/>
        <v>350</v>
      </c>
      <c r="Z93" s="221">
        <f t="shared" si="118"/>
        <v>1.1570365118752215</v>
      </c>
      <c r="AA93" s="177">
        <f t="shared" si="119"/>
        <v>1.7724211272598367</v>
      </c>
      <c r="AB93" s="177">
        <f t="shared" si="120"/>
        <v>0.2871058342122137</v>
      </c>
      <c r="AC93" s="177"/>
      <c r="AD93" s="177">
        <f t="shared" si="121"/>
        <v>0.4595588235294118</v>
      </c>
      <c r="AE93" s="555">
        <f t="shared" si="122"/>
        <v>3191.4666666666681</v>
      </c>
      <c r="AF93" s="538">
        <f t="shared" si="123"/>
        <v>1.9301470588235291E-2</v>
      </c>
      <c r="AH93" s="177">
        <f t="shared" si="124"/>
        <v>0.89697905693022095</v>
      </c>
      <c r="AI93" s="177">
        <f t="shared" si="125"/>
        <v>0.89697905693022095</v>
      </c>
      <c r="AJ93" s="177">
        <f t="shared" si="126"/>
        <v>1.6422067088372008</v>
      </c>
      <c r="AL93" s="555">
        <f t="shared" si="127"/>
        <v>176.00000000000003</v>
      </c>
      <c r="AM93" s="469">
        <f t="shared" si="128"/>
        <v>350</v>
      </c>
      <c r="AO93">
        <f t="shared" si="159"/>
        <v>176.00000000000003</v>
      </c>
      <c r="AP93">
        <f t="shared" si="129"/>
        <v>350</v>
      </c>
      <c r="AR93" s="5">
        <f t="shared" si="160"/>
        <v>2.8571428571428572</v>
      </c>
      <c r="AS93" s="5">
        <f t="shared" si="130"/>
        <v>0.84091786587208217</v>
      </c>
      <c r="AT93" s="5">
        <f t="shared" si="161"/>
        <v>2.016224991270775</v>
      </c>
      <c r="AU93" s="177">
        <f t="shared" si="162"/>
        <v>0.29432125305522877</v>
      </c>
      <c r="AW93" s="5">
        <f t="shared" si="131"/>
        <v>0.80504166666666677</v>
      </c>
      <c r="AX93" s="5">
        <f t="shared" si="132"/>
        <v>1.5254788266666668</v>
      </c>
      <c r="AY93" s="5">
        <f t="shared" si="133"/>
        <v>0.20126041666666669</v>
      </c>
      <c r="AZ93" s="5">
        <f t="shared" si="134"/>
        <v>1.3094986666666666</v>
      </c>
      <c r="BA93" s="5">
        <f t="shared" si="135"/>
        <v>0.18482062419982104</v>
      </c>
      <c r="BB93" s="469">
        <f t="shared" si="136"/>
        <v>30.011299871971367</v>
      </c>
      <c r="BC93" s="5"/>
      <c r="BD93" s="177">
        <f t="shared" si="163"/>
        <v>0.28095223261234187</v>
      </c>
      <c r="BE93" s="177">
        <f t="shared" si="137"/>
        <v>0.34802879805498088</v>
      </c>
      <c r="BF93" s="177">
        <f t="shared" si="138"/>
        <v>0.17401439902749044</v>
      </c>
      <c r="BG93" s="177"/>
      <c r="BH93" s="538">
        <f t="shared" si="139"/>
        <v>2.7626954953450807E-2</v>
      </c>
      <c r="BI93" s="538">
        <f t="shared" si="140"/>
        <v>8.0972093427204919E-2</v>
      </c>
      <c r="BJ93" s="538">
        <f t="shared" si="141"/>
        <v>4.3749999999999995E-3</v>
      </c>
      <c r="BK93" s="538">
        <f t="shared" si="142"/>
        <v>4.6565908480000008E-2</v>
      </c>
      <c r="BL93">
        <f t="shared" si="143"/>
        <v>9.2800000000000001E-3</v>
      </c>
      <c r="BM93">
        <f t="shared" si="144"/>
        <v>2.3625000000000002E-5</v>
      </c>
      <c r="BN93">
        <f t="shared" si="145"/>
        <v>0.17345736299947181</v>
      </c>
      <c r="BO93" s="469">
        <f t="shared" si="164"/>
        <v>173.45736299947183</v>
      </c>
      <c r="BP93" s="177">
        <f t="shared" si="146"/>
        <v>0.11350138491327717</v>
      </c>
      <c r="BQ93" s="177">
        <f t="shared" si="147"/>
        <v>4.5183346228319293E-2</v>
      </c>
      <c r="BR93" s="538"/>
      <c r="BT93" s="469">
        <f t="shared" si="165"/>
        <v>158.68473114159647</v>
      </c>
      <c r="BU93" s="538">
        <f t="shared" si="148"/>
        <v>7.8934157009859455E-3</v>
      </c>
      <c r="BV93" s="538">
        <f t="shared" si="149"/>
        <v>3.6337213282678395E-3</v>
      </c>
      <c r="BW93" s="538">
        <f t="shared" si="150"/>
        <v>1.5140505534449334E-3</v>
      </c>
      <c r="BX93" s="538">
        <f t="shared" si="151"/>
        <v>0</v>
      </c>
      <c r="BY93" s="538">
        <f t="shared" si="152"/>
        <v>1.4621384510071736E-2</v>
      </c>
      <c r="BZ93" s="538">
        <f t="shared" si="166"/>
        <v>1.3041187582698718E-2</v>
      </c>
      <c r="CA93" s="641">
        <f t="shared" si="153"/>
        <v>1.4080000000000002E-2</v>
      </c>
      <c r="CB93" s="469">
        <f t="shared" si="167"/>
        <v>28.701384510071737</v>
      </c>
      <c r="CC93" s="177">
        <f t="shared" si="168"/>
        <v>0.36084347865114003</v>
      </c>
      <c r="CD93" s="5">
        <f t="shared" si="169"/>
        <v>4.2240000000000002</v>
      </c>
      <c r="CE93" s="177">
        <f t="shared" si="170"/>
        <v>0.92129644548797118</v>
      </c>
      <c r="CF93" s="5">
        <f t="shared" si="171"/>
        <v>92.129644548797117</v>
      </c>
      <c r="CG93">
        <f t="shared" si="172"/>
        <v>88</v>
      </c>
      <c r="CI93" s="571">
        <f t="shared" si="154"/>
        <v>-50</v>
      </c>
      <c r="CJ93">
        <f t="shared" si="155"/>
        <v>-50</v>
      </c>
    </row>
    <row r="94" spans="5:88" x14ac:dyDescent="0.25">
      <c r="E94" s="174">
        <v>89</v>
      </c>
      <c r="F94" s="221">
        <f t="shared" si="173"/>
        <v>0.17800000000000002</v>
      </c>
      <c r="G94" s="221">
        <f t="shared" si="156"/>
        <v>8.900000000000001E-2</v>
      </c>
      <c r="H94" s="221">
        <f t="shared" si="105"/>
        <v>2.8480000000000003</v>
      </c>
      <c r="I94" s="221">
        <f t="shared" si="174"/>
        <v>1.4240000000000002</v>
      </c>
      <c r="J94" s="551">
        <f t="shared" si="106"/>
        <v>32</v>
      </c>
      <c r="K94" s="451">
        <f t="shared" si="107"/>
        <v>19.584</v>
      </c>
      <c r="L94" s="451">
        <f t="shared" si="108"/>
        <v>51.584000000000003</v>
      </c>
      <c r="M94" s="451"/>
      <c r="N94" s="221">
        <f t="shared" si="109"/>
        <v>0.37965260545905705</v>
      </c>
      <c r="O94" s="176">
        <f t="shared" si="157"/>
        <v>5.4669975186104214</v>
      </c>
      <c r="P94" s="176">
        <f t="shared" si="110"/>
        <v>2.7334987593052107</v>
      </c>
      <c r="Q94" s="221">
        <f t="shared" si="111"/>
        <v>0.34168734491315134</v>
      </c>
      <c r="R94" s="221">
        <f t="shared" si="112"/>
        <v>0.34168734491315134</v>
      </c>
      <c r="S94" s="451">
        <f t="shared" si="113"/>
        <v>16</v>
      </c>
      <c r="T94" s="221">
        <f t="shared" si="114"/>
        <v>0.78141612200435739</v>
      </c>
      <c r="U94" s="221">
        <f t="shared" si="115"/>
        <v>0.73257761437908508</v>
      </c>
      <c r="V94" s="221">
        <f t="shared" si="116"/>
        <v>1.1970222457174593</v>
      </c>
      <c r="W94" s="201">
        <f t="shared" si="117"/>
        <v>350</v>
      </c>
      <c r="X94" s="451">
        <f t="shared" si="158"/>
        <v>350</v>
      </c>
      <c r="Z94" s="221">
        <f t="shared" si="118"/>
        <v>1.1570365118752215</v>
      </c>
      <c r="AA94" s="177">
        <f t="shared" si="119"/>
        <v>1.7724211272598367</v>
      </c>
      <c r="AB94" s="177">
        <f t="shared" si="120"/>
        <v>0.2871058342122137</v>
      </c>
      <c r="AC94" s="177"/>
      <c r="AD94" s="177">
        <f t="shared" si="121"/>
        <v>0.4595588235294118</v>
      </c>
      <c r="AE94" s="555">
        <f t="shared" si="122"/>
        <v>3227.733333333334</v>
      </c>
      <c r="AF94" s="538">
        <f t="shared" si="123"/>
        <v>1.9301470588235291E-2</v>
      </c>
      <c r="AH94" s="177">
        <f t="shared" si="124"/>
        <v>0.90206113191639381</v>
      </c>
      <c r="AI94" s="177">
        <f t="shared" si="125"/>
        <v>0.90206113191639381</v>
      </c>
      <c r="AJ94" s="177">
        <f t="shared" si="126"/>
        <v>1.6459712088269582</v>
      </c>
      <c r="AL94" s="555">
        <f t="shared" si="127"/>
        <v>178.00000000000003</v>
      </c>
      <c r="AM94" s="469">
        <f t="shared" si="128"/>
        <v>350</v>
      </c>
      <c r="AO94">
        <f t="shared" si="159"/>
        <v>178.00000000000003</v>
      </c>
      <c r="AP94">
        <f t="shared" si="129"/>
        <v>350</v>
      </c>
      <c r="AR94" s="5">
        <f t="shared" si="160"/>
        <v>2.8571428571428572</v>
      </c>
      <c r="AS94" s="5">
        <f t="shared" si="130"/>
        <v>0.84568231117161929</v>
      </c>
      <c r="AT94" s="5">
        <f t="shared" si="161"/>
        <v>2.011460545971238</v>
      </c>
      <c r="AU94" s="177">
        <f t="shared" si="162"/>
        <v>0.29598880891006674</v>
      </c>
      <c r="AW94" s="5">
        <f t="shared" si="131"/>
        <v>0.80504166666666677</v>
      </c>
      <c r="AX94" s="5">
        <f t="shared" si="132"/>
        <v>1.5542776066666666</v>
      </c>
      <c r="AY94" s="5">
        <f t="shared" si="133"/>
        <v>0.20126041666666669</v>
      </c>
      <c r="AZ94" s="5">
        <f t="shared" si="134"/>
        <v>1.3374063712121211</v>
      </c>
      <c r="BA94" s="5">
        <f t="shared" si="135"/>
        <v>0.18647915478275021</v>
      </c>
      <c r="BB94" s="469">
        <f t="shared" si="136"/>
        <v>30.281664765240034</v>
      </c>
      <c r="BC94" s="5"/>
      <c r="BD94" s="177">
        <f t="shared" si="163"/>
        <v>0.28334332662083123</v>
      </c>
      <c r="BE94" s="177">
        <f t="shared" si="137"/>
        <v>0.34958686885869034</v>
      </c>
      <c r="BF94" s="177">
        <f t="shared" si="138"/>
        <v>0.17479343442934517</v>
      </c>
      <c r="BG94" s="177"/>
      <c r="BH94" s="538">
        <f t="shared" si="139"/>
        <v>2.8099204259195664E-2</v>
      </c>
      <c r="BI94" s="538">
        <f t="shared" si="140"/>
        <v>8.1430862500356707E-2</v>
      </c>
      <c r="BJ94" s="538">
        <f t="shared" si="141"/>
        <v>4.3749999999999995E-3</v>
      </c>
      <c r="BK94" s="538">
        <f t="shared" si="142"/>
        <v>4.6565908480000008E-2</v>
      </c>
      <c r="BL94">
        <f t="shared" si="143"/>
        <v>9.2800000000000001E-3</v>
      </c>
      <c r="BM94">
        <f t="shared" si="144"/>
        <v>2.3625000000000002E-5</v>
      </c>
      <c r="BN94">
        <f t="shared" si="145"/>
        <v>0.1744725112102494</v>
      </c>
      <c r="BO94" s="469">
        <f t="shared" si="164"/>
        <v>174.47251121024939</v>
      </c>
      <c r="BP94" s="177">
        <f t="shared" si="146"/>
        <v>0.11468059393155766</v>
      </c>
      <c r="BQ94" s="177">
        <f t="shared" si="147"/>
        <v>4.5669148482889416E-2</v>
      </c>
      <c r="BR94" s="538"/>
      <c r="BT94" s="469">
        <f t="shared" si="165"/>
        <v>160.34974241444706</v>
      </c>
      <c r="BU94" s="538">
        <f t="shared" si="148"/>
        <v>8.0283440740559053E-3</v>
      </c>
      <c r="BV94" s="538">
        <f t="shared" si="149"/>
        <v>3.6663293663526946E-3</v>
      </c>
      <c r="BW94" s="538">
        <f t="shared" si="150"/>
        <v>1.5276372359802894E-3</v>
      </c>
      <c r="BX94" s="538">
        <f t="shared" si="151"/>
        <v>0</v>
      </c>
      <c r="BY94" s="538">
        <f t="shared" si="152"/>
        <v>1.4824669268174639E-2</v>
      </c>
      <c r="BZ94" s="538">
        <f t="shared" si="166"/>
        <v>1.3222310676388889E-2</v>
      </c>
      <c r="CA94" s="641">
        <f t="shared" si="153"/>
        <v>1.4239999999999999E-2</v>
      </c>
      <c r="CB94" s="469">
        <f t="shared" si="167"/>
        <v>29.064669268174637</v>
      </c>
      <c r="CC94" s="177">
        <f t="shared" si="168"/>
        <v>0.36388692289287106</v>
      </c>
      <c r="CD94" s="5">
        <f t="shared" si="169"/>
        <v>4.2720000000000002</v>
      </c>
      <c r="CE94" s="177">
        <f t="shared" si="170"/>
        <v>0.92150651451485366</v>
      </c>
      <c r="CF94" s="5">
        <f t="shared" si="171"/>
        <v>92.150651451485359</v>
      </c>
      <c r="CG94">
        <f t="shared" si="172"/>
        <v>89</v>
      </c>
      <c r="CI94" s="571">
        <f t="shared" si="154"/>
        <v>-50</v>
      </c>
      <c r="CJ94">
        <f t="shared" si="155"/>
        <v>-50</v>
      </c>
    </row>
    <row r="95" spans="5:88" x14ac:dyDescent="0.25">
      <c r="E95" s="174">
        <v>90</v>
      </c>
      <c r="F95" s="221">
        <f t="shared" si="173"/>
        <v>0.18000000000000002</v>
      </c>
      <c r="G95" s="221">
        <f t="shared" si="156"/>
        <v>9.0000000000000011E-2</v>
      </c>
      <c r="H95" s="221">
        <f t="shared" si="105"/>
        <v>2.8800000000000003</v>
      </c>
      <c r="I95" s="221">
        <f t="shared" si="174"/>
        <v>1.4400000000000002</v>
      </c>
      <c r="J95" s="551">
        <f t="shared" si="106"/>
        <v>32</v>
      </c>
      <c r="K95" s="451">
        <f t="shared" si="107"/>
        <v>19.584</v>
      </c>
      <c r="L95" s="451">
        <f t="shared" si="108"/>
        <v>51.584000000000003</v>
      </c>
      <c r="M95" s="451"/>
      <c r="N95" s="221">
        <f t="shared" si="109"/>
        <v>0.37965260545905705</v>
      </c>
      <c r="O95" s="176">
        <f t="shared" si="157"/>
        <v>5.4669975186104214</v>
      </c>
      <c r="P95" s="176">
        <f t="shared" si="110"/>
        <v>2.7334987593052107</v>
      </c>
      <c r="Q95" s="221">
        <f t="shared" si="111"/>
        <v>0.34168734491315134</v>
      </c>
      <c r="R95" s="221">
        <f t="shared" si="112"/>
        <v>0.34168734491315134</v>
      </c>
      <c r="S95" s="451">
        <f t="shared" si="113"/>
        <v>16</v>
      </c>
      <c r="T95" s="221">
        <f t="shared" si="114"/>
        <v>0.79019607843137263</v>
      </c>
      <c r="U95" s="221">
        <f t="shared" si="115"/>
        <v>0.74080882352941191</v>
      </c>
      <c r="V95" s="221">
        <f t="shared" si="116"/>
        <v>1.2104719338715881</v>
      </c>
      <c r="W95" s="201">
        <f t="shared" si="117"/>
        <v>350</v>
      </c>
      <c r="X95" s="451">
        <f t="shared" si="158"/>
        <v>350</v>
      </c>
      <c r="Z95" s="221">
        <f t="shared" si="118"/>
        <v>1.1570365118752215</v>
      </c>
      <c r="AA95" s="177">
        <f t="shared" si="119"/>
        <v>1.7724211272598367</v>
      </c>
      <c r="AB95" s="177">
        <f t="shared" si="120"/>
        <v>0.2871058342122137</v>
      </c>
      <c r="AC95" s="177"/>
      <c r="AD95" s="177">
        <f t="shared" si="121"/>
        <v>0.4595588235294118</v>
      </c>
      <c r="AE95" s="555">
        <f t="shared" si="122"/>
        <v>3264.0000000000009</v>
      </c>
      <c r="AF95" s="538">
        <f t="shared" si="123"/>
        <v>1.9301470588235291E-2</v>
      </c>
      <c r="AH95" s="177">
        <f t="shared" si="124"/>
        <v>0.90711473522214536</v>
      </c>
      <c r="AI95" s="177">
        <f t="shared" si="125"/>
        <v>0.90711473522214536</v>
      </c>
      <c r="AJ95" s="177">
        <f t="shared" si="126"/>
        <v>1.6497146186830705</v>
      </c>
      <c r="AL95" s="555">
        <f t="shared" si="127"/>
        <v>180.00000000000003</v>
      </c>
      <c r="AM95" s="469">
        <f t="shared" si="128"/>
        <v>350</v>
      </c>
      <c r="AO95">
        <f t="shared" si="159"/>
        <v>180.00000000000003</v>
      </c>
      <c r="AP95">
        <f t="shared" si="129"/>
        <v>350</v>
      </c>
      <c r="AR95" s="5">
        <f t="shared" si="160"/>
        <v>2.8571428571428572</v>
      </c>
      <c r="AS95" s="5">
        <f t="shared" si="130"/>
        <v>0.85042006427076122</v>
      </c>
      <c r="AT95" s="5">
        <f t="shared" si="161"/>
        <v>2.0067227928720959</v>
      </c>
      <c r="AU95" s="177">
        <f t="shared" si="162"/>
        <v>0.29764702249476643</v>
      </c>
      <c r="AW95" s="5">
        <f t="shared" si="131"/>
        <v>0.80504166666666677</v>
      </c>
      <c r="AX95" s="5">
        <f t="shared" si="132"/>
        <v>1.5833339999999998</v>
      </c>
      <c r="AY95" s="5">
        <f t="shared" si="133"/>
        <v>0.20126041666666669</v>
      </c>
      <c r="AZ95" s="5">
        <f t="shared" si="134"/>
        <v>1.3656068181818179</v>
      </c>
      <c r="BA95" s="5">
        <f t="shared" si="135"/>
        <v>0.18813026183175896</v>
      </c>
      <c r="BB95" s="469">
        <f t="shared" si="136"/>
        <v>30.550841893081436</v>
      </c>
      <c r="BC95" s="5"/>
      <c r="BD95" s="177">
        <f t="shared" si="163"/>
        <v>0.28572771333910385</v>
      </c>
      <c r="BE95" s="177">
        <f t="shared" si="137"/>
        <v>0.35113109858578684</v>
      </c>
      <c r="BF95" s="177">
        <f t="shared" si="138"/>
        <v>0.17556554929289342</v>
      </c>
      <c r="BG95" s="177"/>
      <c r="BH95" s="538">
        <f t="shared" si="139"/>
        <v>2.8574114159497583E-2</v>
      </c>
      <c r="BI95" s="538">
        <f t="shared" si="140"/>
        <v>8.1887061377973497E-2</v>
      </c>
      <c r="BJ95" s="538">
        <f t="shared" si="141"/>
        <v>4.3749999999999995E-3</v>
      </c>
      <c r="BK95" s="538">
        <f t="shared" si="142"/>
        <v>4.6565908480000008E-2</v>
      </c>
      <c r="BL95">
        <f t="shared" si="143"/>
        <v>9.2800000000000001E-3</v>
      </c>
      <c r="BM95">
        <f t="shared" si="144"/>
        <v>2.3625000000000002E-5</v>
      </c>
      <c r="BN95">
        <f t="shared" si="145"/>
        <v>0.17548837582016591</v>
      </c>
      <c r="BO95" s="469">
        <f t="shared" si="164"/>
        <v>175.48837582016591</v>
      </c>
      <c r="BP95" s="177">
        <f t="shared" si="146"/>
        <v>0.11585794448653151</v>
      </c>
      <c r="BQ95" s="177">
        <f t="shared" si="147"/>
        <v>4.6154486121632879E-2</v>
      </c>
      <c r="BR95" s="538"/>
      <c r="BT95" s="469">
        <f t="shared" si="165"/>
        <v>162.01243060816438</v>
      </c>
      <c r="BU95" s="538">
        <f t="shared" si="148"/>
        <v>8.1640326169993109E-3</v>
      </c>
      <c r="BV95" s="538">
        <f t="shared" si="149"/>
        <v>3.6987914518218463E-3</v>
      </c>
      <c r="BW95" s="538">
        <f t="shared" si="150"/>
        <v>1.5411631049257694E-3</v>
      </c>
      <c r="BX95" s="538">
        <f t="shared" si="151"/>
        <v>0</v>
      </c>
      <c r="BY95" s="538">
        <f t="shared" si="152"/>
        <v>1.5028581067225736E-2</v>
      </c>
      <c r="BZ95" s="538">
        <f t="shared" si="166"/>
        <v>1.3403987173746927E-2</v>
      </c>
      <c r="CA95" s="641">
        <f t="shared" si="153"/>
        <v>1.4400000000000001E-2</v>
      </c>
      <c r="CB95" s="469">
        <f t="shared" si="167"/>
        <v>29.428581067225739</v>
      </c>
      <c r="CC95" s="177">
        <f t="shared" si="168"/>
        <v>0.36692938749555604</v>
      </c>
      <c r="CD95" s="5">
        <f t="shared" si="169"/>
        <v>4.32</v>
      </c>
      <c r="CE95" s="177">
        <f t="shared" si="170"/>
        <v>0.9217122006415327</v>
      </c>
      <c r="CF95" s="5">
        <f t="shared" si="171"/>
        <v>92.171220064153275</v>
      </c>
      <c r="CG95">
        <f t="shared" si="172"/>
        <v>90</v>
      </c>
      <c r="CI95" s="571">
        <f t="shared" si="154"/>
        <v>-50</v>
      </c>
      <c r="CJ95">
        <f t="shared" si="155"/>
        <v>-50</v>
      </c>
    </row>
    <row r="96" spans="5:88" x14ac:dyDescent="0.25">
      <c r="E96" s="174">
        <v>91</v>
      </c>
      <c r="F96" s="221">
        <f t="shared" si="173"/>
        <v>0.18200000000000002</v>
      </c>
      <c r="G96" s="221">
        <f t="shared" si="156"/>
        <v>9.1000000000000011E-2</v>
      </c>
      <c r="H96" s="221">
        <f t="shared" si="105"/>
        <v>2.9120000000000004</v>
      </c>
      <c r="I96" s="221">
        <f t="shared" si="174"/>
        <v>1.4560000000000002</v>
      </c>
      <c r="J96" s="551">
        <f t="shared" si="106"/>
        <v>32</v>
      </c>
      <c r="K96" s="451">
        <f t="shared" si="107"/>
        <v>19.584</v>
      </c>
      <c r="L96" s="451">
        <f t="shared" si="108"/>
        <v>51.584000000000003</v>
      </c>
      <c r="M96" s="451"/>
      <c r="N96" s="221">
        <f t="shared" si="109"/>
        <v>0.37965260545905705</v>
      </c>
      <c r="O96" s="176">
        <f t="shared" si="157"/>
        <v>5.4669975186104214</v>
      </c>
      <c r="P96" s="176">
        <f t="shared" si="110"/>
        <v>2.7334987593052107</v>
      </c>
      <c r="Q96" s="221">
        <f t="shared" si="111"/>
        <v>0.34168734491315134</v>
      </c>
      <c r="R96" s="221">
        <f t="shared" si="112"/>
        <v>0.34168734491315134</v>
      </c>
      <c r="S96" s="451">
        <f t="shared" si="113"/>
        <v>16</v>
      </c>
      <c r="T96" s="221">
        <f t="shared" si="114"/>
        <v>0.79897603485838797</v>
      </c>
      <c r="U96" s="221">
        <f t="shared" si="115"/>
        <v>0.74904003267973873</v>
      </c>
      <c r="V96" s="221">
        <f t="shared" si="116"/>
        <v>1.223921622025717</v>
      </c>
      <c r="W96" s="201">
        <f t="shared" si="117"/>
        <v>350</v>
      </c>
      <c r="X96" s="451">
        <f t="shared" si="158"/>
        <v>350</v>
      </c>
      <c r="Z96" s="221">
        <f t="shared" si="118"/>
        <v>1.1570365118752215</v>
      </c>
      <c r="AA96" s="177">
        <f t="shared" si="119"/>
        <v>1.7724211272598367</v>
      </c>
      <c r="AB96" s="177">
        <f t="shared" si="120"/>
        <v>0.2871058342122137</v>
      </c>
      <c r="AC96" s="177"/>
      <c r="AD96" s="177">
        <f t="shared" si="121"/>
        <v>0.4595588235294118</v>
      </c>
      <c r="AE96" s="555">
        <f t="shared" si="122"/>
        <v>3300.2666666666678</v>
      </c>
      <c r="AF96" s="538">
        <f t="shared" si="123"/>
        <v>1.9301470588235291E-2</v>
      </c>
      <c r="AH96" s="177">
        <f t="shared" si="124"/>
        <v>0.91214034007931044</v>
      </c>
      <c r="AI96" s="177">
        <f t="shared" si="125"/>
        <v>0.91214034007931044</v>
      </c>
      <c r="AJ96" s="177">
        <f t="shared" si="126"/>
        <v>1.6534372889476372</v>
      </c>
      <c r="AL96" s="555">
        <f t="shared" si="127"/>
        <v>182.00000000000003</v>
      </c>
      <c r="AM96" s="469">
        <f t="shared" si="128"/>
        <v>350</v>
      </c>
      <c r="AO96">
        <f t="shared" si="159"/>
        <v>182.00000000000003</v>
      </c>
      <c r="AP96">
        <f t="shared" si="129"/>
        <v>350</v>
      </c>
      <c r="AR96" s="5">
        <f t="shared" si="160"/>
        <v>2.8571428571428572</v>
      </c>
      <c r="AS96" s="5">
        <f t="shared" si="130"/>
        <v>0.85513156882435359</v>
      </c>
      <c r="AT96" s="5">
        <f t="shared" si="161"/>
        <v>2.0020112883185037</v>
      </c>
      <c r="AU96" s="177">
        <f t="shared" si="162"/>
        <v>0.29929604908852375</v>
      </c>
      <c r="AW96" s="5">
        <f t="shared" si="131"/>
        <v>0.80504166666666677</v>
      </c>
      <c r="AX96" s="5">
        <f t="shared" si="132"/>
        <v>1.6126480066666669</v>
      </c>
      <c r="AY96" s="5">
        <f t="shared" si="133"/>
        <v>0.20126041666666669</v>
      </c>
      <c r="AZ96" s="5">
        <f t="shared" si="134"/>
        <v>1.3941000075757575</v>
      </c>
      <c r="BA96" s="5">
        <f t="shared" si="135"/>
        <v>0.18977398670519149</v>
      </c>
      <c r="BB96" s="469">
        <f t="shared" si="136"/>
        <v>30.818837872830638</v>
      </c>
      <c r="BC96" s="5"/>
      <c r="BD96" s="177">
        <f t="shared" si="163"/>
        <v>0.28810548579854783</v>
      </c>
      <c r="BE96" s="177">
        <f t="shared" si="137"/>
        <v>0.3526617074862457</v>
      </c>
      <c r="BF96" s="177">
        <f t="shared" si="138"/>
        <v>0.17633085374312285</v>
      </c>
      <c r="BG96" s="177"/>
      <c r="BH96" s="538">
        <f t="shared" si="139"/>
        <v>2.9051669831526031E-2</v>
      </c>
      <c r="BI96" s="538">
        <f t="shared" si="140"/>
        <v>8.2340732779639519E-2</v>
      </c>
      <c r="BJ96" s="538">
        <f t="shared" si="141"/>
        <v>4.3749999999999995E-3</v>
      </c>
      <c r="BK96" s="538">
        <f t="shared" si="142"/>
        <v>4.6565908480000008E-2</v>
      </c>
      <c r="BL96">
        <f t="shared" si="143"/>
        <v>9.2800000000000001E-3</v>
      </c>
      <c r="BM96">
        <f t="shared" si="144"/>
        <v>2.3625000000000002E-5</v>
      </c>
      <c r="BN96">
        <f t="shared" si="145"/>
        <v>0.17650498407252649</v>
      </c>
      <c r="BO96" s="469">
        <f t="shared" si="164"/>
        <v>176.5049840725265</v>
      </c>
      <c r="BP96" s="177">
        <f t="shared" si="146"/>
        <v>0.11703344693215768</v>
      </c>
      <c r="BQ96" s="177">
        <f t="shared" si="147"/>
        <v>4.6639361733039432E-2</v>
      </c>
      <c r="BR96" s="538"/>
      <c r="BT96" s="469">
        <f t="shared" si="165"/>
        <v>163.67280866519712</v>
      </c>
      <c r="BU96" s="538">
        <f t="shared" si="148"/>
        <v>8.3004770947217241E-3</v>
      </c>
      <c r="BV96" s="538">
        <f t="shared" si="149"/>
        <v>3.7311083978134297E-3</v>
      </c>
      <c r="BW96" s="538">
        <f t="shared" si="150"/>
        <v>1.5546284990889292E-3</v>
      </c>
      <c r="BX96" s="538">
        <f t="shared" si="151"/>
        <v>0</v>
      </c>
      <c r="BY96" s="538">
        <f t="shared" si="152"/>
        <v>1.5233116501062398E-2</v>
      </c>
      <c r="BZ96" s="538">
        <f t="shared" si="166"/>
        <v>1.3586213991624083E-2</v>
      </c>
      <c r="CA96" s="641">
        <f t="shared" si="153"/>
        <v>1.4560000000000003E-2</v>
      </c>
      <c r="CB96" s="469">
        <f t="shared" si="167"/>
        <v>29.7931165010624</v>
      </c>
      <c r="CC96" s="177">
        <f t="shared" si="168"/>
        <v>0.36997090923878606</v>
      </c>
      <c r="CD96" s="5">
        <f t="shared" si="169"/>
        <v>4.3680000000000003</v>
      </c>
      <c r="CE96" s="177">
        <f t="shared" si="170"/>
        <v>0.92191363849082253</v>
      </c>
      <c r="CF96" s="5">
        <f t="shared" si="171"/>
        <v>92.191363849082251</v>
      </c>
      <c r="CG96">
        <f t="shared" si="172"/>
        <v>91</v>
      </c>
      <c r="CI96" s="571">
        <f t="shared" si="154"/>
        <v>-50</v>
      </c>
      <c r="CJ96">
        <f t="shared" si="155"/>
        <v>-50</v>
      </c>
    </row>
    <row r="97" spans="5:88" x14ac:dyDescent="0.25">
      <c r="E97" s="174">
        <v>92</v>
      </c>
      <c r="F97" s="221">
        <f t="shared" si="173"/>
        <v>0.18400000000000002</v>
      </c>
      <c r="G97" s="221">
        <f t="shared" si="156"/>
        <v>9.2000000000000012E-2</v>
      </c>
      <c r="H97" s="221">
        <f t="shared" si="105"/>
        <v>2.9440000000000004</v>
      </c>
      <c r="I97" s="221">
        <f t="shared" si="174"/>
        <v>1.4720000000000002</v>
      </c>
      <c r="J97" s="551">
        <f t="shared" si="106"/>
        <v>32</v>
      </c>
      <c r="K97" s="451">
        <f t="shared" si="107"/>
        <v>19.584</v>
      </c>
      <c r="L97" s="451">
        <f t="shared" si="108"/>
        <v>51.584000000000003</v>
      </c>
      <c r="M97" s="451"/>
      <c r="N97" s="221">
        <f t="shared" si="109"/>
        <v>0.37965260545905705</v>
      </c>
      <c r="O97" s="176">
        <f t="shared" si="157"/>
        <v>5.4669975186104214</v>
      </c>
      <c r="P97" s="176">
        <f t="shared" si="110"/>
        <v>2.7334987593052107</v>
      </c>
      <c r="Q97" s="221">
        <f t="shared" si="111"/>
        <v>0.34168734491315134</v>
      </c>
      <c r="R97" s="221">
        <f t="shared" si="112"/>
        <v>0.34168734491315134</v>
      </c>
      <c r="S97" s="451">
        <f t="shared" si="113"/>
        <v>16</v>
      </c>
      <c r="T97" s="221">
        <f t="shared" si="114"/>
        <v>0.80775599128540321</v>
      </c>
      <c r="U97" s="221">
        <f t="shared" si="115"/>
        <v>0.75727124183006556</v>
      </c>
      <c r="V97" s="221">
        <f t="shared" si="116"/>
        <v>1.2373713101798456</v>
      </c>
      <c r="W97" s="201">
        <f t="shared" si="117"/>
        <v>350</v>
      </c>
      <c r="X97" s="451">
        <f t="shared" si="158"/>
        <v>350</v>
      </c>
      <c r="Z97" s="221">
        <f t="shared" si="118"/>
        <v>1.1570365118752215</v>
      </c>
      <c r="AA97" s="177">
        <f t="shared" si="119"/>
        <v>1.7724211272598367</v>
      </c>
      <c r="AB97" s="177">
        <f t="shared" si="120"/>
        <v>0.2871058342122137</v>
      </c>
      <c r="AC97" s="177"/>
      <c r="AD97" s="177">
        <f t="shared" si="121"/>
        <v>0.4595588235294118</v>
      </c>
      <c r="AE97" s="555">
        <f t="shared" si="122"/>
        <v>3336.5333333333342</v>
      </c>
      <c r="AF97" s="538">
        <f t="shared" si="123"/>
        <v>1.9301470588235291E-2</v>
      </c>
      <c r="AH97" s="177">
        <f t="shared" si="124"/>
        <v>0.91713840675377734</v>
      </c>
      <c r="AI97" s="177">
        <f t="shared" si="125"/>
        <v>0.91713840675377734</v>
      </c>
      <c r="AJ97" s="177">
        <f t="shared" si="126"/>
        <v>1.6571395605583534</v>
      </c>
      <c r="AL97" s="555">
        <f t="shared" si="127"/>
        <v>184.00000000000003</v>
      </c>
      <c r="AM97" s="469">
        <f t="shared" si="128"/>
        <v>350</v>
      </c>
      <c r="AO97">
        <f t="shared" si="159"/>
        <v>184.00000000000003</v>
      </c>
      <c r="AP97">
        <f t="shared" si="129"/>
        <v>350</v>
      </c>
      <c r="AR97" s="5">
        <f t="shared" si="160"/>
        <v>2.8571428571428572</v>
      </c>
      <c r="AS97" s="5">
        <f t="shared" si="130"/>
        <v>0.85981725633166628</v>
      </c>
      <c r="AT97" s="5">
        <f t="shared" si="161"/>
        <v>1.997325600811191</v>
      </c>
      <c r="AU97" s="177">
        <f t="shared" si="162"/>
        <v>0.30093603971608318</v>
      </c>
      <c r="AW97" s="5">
        <f t="shared" si="131"/>
        <v>0.80504166666666677</v>
      </c>
      <c r="AX97" s="5">
        <f t="shared" si="132"/>
        <v>1.6422196266666669</v>
      </c>
      <c r="AY97" s="5">
        <f t="shared" si="133"/>
        <v>0.20126041666666669</v>
      </c>
      <c r="AZ97" s="5">
        <f t="shared" si="134"/>
        <v>1.4228859393939393</v>
      </c>
      <c r="BA97" s="5">
        <f t="shared" si="135"/>
        <v>0.19141037007773914</v>
      </c>
      <c r="BB97" s="469">
        <f t="shared" si="136"/>
        <v>31.085659212438266</v>
      </c>
      <c r="BC97" s="5"/>
      <c r="BD97" s="177">
        <f t="shared" si="163"/>
        <v>0.29047673473334745</v>
      </c>
      <c r="BE97" s="177">
        <f t="shared" si="137"/>
        <v>0.35417890978169081</v>
      </c>
      <c r="BF97" s="177">
        <f t="shared" si="138"/>
        <v>0.1770894548908454</v>
      </c>
      <c r="BG97" s="177"/>
      <c r="BH97" s="538">
        <f t="shared" si="139"/>
        <v>2.9531856697471624E-2</v>
      </c>
      <c r="BI97" s="538">
        <f t="shared" si="140"/>
        <v>8.2791918254476987E-2</v>
      </c>
      <c r="BJ97" s="538">
        <f t="shared" si="141"/>
        <v>4.3749999999999995E-3</v>
      </c>
      <c r="BK97" s="538">
        <f t="shared" si="142"/>
        <v>4.6565908480000008E-2</v>
      </c>
      <c r="BL97">
        <f t="shared" si="143"/>
        <v>9.2800000000000001E-3</v>
      </c>
      <c r="BM97">
        <f t="shared" si="144"/>
        <v>2.3625000000000002E-5</v>
      </c>
      <c r="BN97">
        <f t="shared" si="145"/>
        <v>0.17752236232209312</v>
      </c>
      <c r="BO97" s="469">
        <f t="shared" si="164"/>
        <v>177.52236232209313</v>
      </c>
      <c r="BP97" s="177">
        <f t="shared" si="146"/>
        <v>0.1182071114512442</v>
      </c>
      <c r="BQ97" s="177">
        <f t="shared" si="147"/>
        <v>4.712377786281105E-2</v>
      </c>
      <c r="BR97" s="538"/>
      <c r="BT97" s="469">
        <f t="shared" si="165"/>
        <v>165.33088931405527</v>
      </c>
      <c r="BU97" s="538">
        <f t="shared" si="148"/>
        <v>8.4376733421347508E-3</v>
      </c>
      <c r="BV97" s="538">
        <f t="shared" si="149"/>
        <v>3.7632810040244121E-3</v>
      </c>
      <c r="BW97" s="538">
        <f t="shared" si="150"/>
        <v>1.5680337516768385E-3</v>
      </c>
      <c r="BX97" s="538">
        <f t="shared" si="151"/>
        <v>0</v>
      </c>
      <c r="BY97" s="538">
        <f t="shared" si="152"/>
        <v>1.5438272220492733E-2</v>
      </c>
      <c r="BZ97" s="538">
        <f t="shared" si="166"/>
        <v>1.3768988097836003E-2</v>
      </c>
      <c r="CA97" s="641">
        <f t="shared" si="153"/>
        <v>1.472E-2</v>
      </c>
      <c r="CB97" s="469">
        <f t="shared" si="167"/>
        <v>30.158272220492734</v>
      </c>
      <c r="CC97" s="177">
        <f t="shared" si="168"/>
        <v>0.37301152385664105</v>
      </c>
      <c r="CD97" s="5">
        <f t="shared" si="169"/>
        <v>4.4160000000000004</v>
      </c>
      <c r="CE97" s="177">
        <f t="shared" si="170"/>
        <v>0.92211095713625457</v>
      </c>
      <c r="CF97" s="5">
        <f t="shared" si="171"/>
        <v>92.211095713625454</v>
      </c>
      <c r="CG97">
        <f t="shared" si="172"/>
        <v>92</v>
      </c>
      <c r="CI97" s="571">
        <f t="shared" si="154"/>
        <v>-50</v>
      </c>
      <c r="CJ97">
        <f t="shared" si="155"/>
        <v>-50</v>
      </c>
    </row>
    <row r="98" spans="5:88" x14ac:dyDescent="0.25">
      <c r="E98" s="174">
        <v>93</v>
      </c>
      <c r="F98" s="221">
        <f t="shared" si="173"/>
        <v>0.18600000000000003</v>
      </c>
      <c r="G98" s="221">
        <f t="shared" si="156"/>
        <v>9.3000000000000013E-2</v>
      </c>
      <c r="H98" s="221">
        <f t="shared" si="105"/>
        <v>2.9760000000000004</v>
      </c>
      <c r="I98" s="221">
        <f t="shared" si="174"/>
        <v>1.4880000000000002</v>
      </c>
      <c r="J98" s="551">
        <f t="shared" si="106"/>
        <v>32</v>
      </c>
      <c r="K98" s="451">
        <f t="shared" si="107"/>
        <v>19.584</v>
      </c>
      <c r="L98" s="451">
        <f t="shared" si="108"/>
        <v>51.584000000000003</v>
      </c>
      <c r="M98" s="451"/>
      <c r="N98" s="221">
        <f t="shared" si="109"/>
        <v>0.37965260545905705</v>
      </c>
      <c r="O98" s="176">
        <f t="shared" si="157"/>
        <v>5.4669975186104214</v>
      </c>
      <c r="P98" s="176">
        <f t="shared" si="110"/>
        <v>2.7334987593052107</v>
      </c>
      <c r="Q98" s="221">
        <f t="shared" si="111"/>
        <v>0.34168734491315134</v>
      </c>
      <c r="R98" s="221">
        <f t="shared" si="112"/>
        <v>0.34168734491315134</v>
      </c>
      <c r="S98" s="451">
        <f t="shared" si="113"/>
        <v>16</v>
      </c>
      <c r="T98" s="221">
        <f t="shared" si="114"/>
        <v>0.81653594771241844</v>
      </c>
      <c r="U98" s="221">
        <f t="shared" si="115"/>
        <v>0.76550245098039227</v>
      </c>
      <c r="V98" s="221">
        <f t="shared" si="116"/>
        <v>1.2508209983339744</v>
      </c>
      <c r="W98" s="201">
        <f t="shared" si="117"/>
        <v>350</v>
      </c>
      <c r="X98" s="451">
        <f t="shared" si="158"/>
        <v>350</v>
      </c>
      <c r="Z98" s="221">
        <f t="shared" si="118"/>
        <v>1.1570365118752215</v>
      </c>
      <c r="AA98" s="177">
        <f t="shared" si="119"/>
        <v>1.7724211272598367</v>
      </c>
      <c r="AB98" s="177">
        <f t="shared" si="120"/>
        <v>0.2871058342122137</v>
      </c>
      <c r="AC98" s="177"/>
      <c r="AD98" s="177">
        <f t="shared" si="121"/>
        <v>0.4595588235294118</v>
      </c>
      <c r="AE98" s="555">
        <f t="shared" si="122"/>
        <v>3372.8000000000006</v>
      </c>
      <c r="AF98" s="538">
        <f t="shared" si="123"/>
        <v>1.9301470588235291E-2</v>
      </c>
      <c r="AH98" s="177">
        <f t="shared" si="124"/>
        <v>0.92210938303745416</v>
      </c>
      <c r="AI98" s="177">
        <f t="shared" si="125"/>
        <v>0.92210938303745416</v>
      </c>
      <c r="AJ98" s="177">
        <f t="shared" si="126"/>
        <v>1.6608217652129289</v>
      </c>
      <c r="AL98" s="555">
        <f t="shared" si="127"/>
        <v>186.00000000000003</v>
      </c>
      <c r="AM98" s="469">
        <f t="shared" si="128"/>
        <v>350</v>
      </c>
      <c r="AO98">
        <f t="shared" si="159"/>
        <v>186.00000000000003</v>
      </c>
      <c r="AP98">
        <f t="shared" si="129"/>
        <v>350</v>
      </c>
      <c r="AR98" s="5">
        <f t="shared" si="160"/>
        <v>2.8571428571428572</v>
      </c>
      <c r="AS98" s="5">
        <f t="shared" si="130"/>
        <v>0.86447754659761333</v>
      </c>
      <c r="AT98" s="5">
        <f t="shared" si="161"/>
        <v>1.9926653105452439</v>
      </c>
      <c r="AU98" s="177">
        <f t="shared" si="162"/>
        <v>0.30256714130916468</v>
      </c>
      <c r="AW98" s="5">
        <f t="shared" si="131"/>
        <v>0.80504166666666677</v>
      </c>
      <c r="AX98" s="5">
        <f t="shared" si="132"/>
        <v>1.6720488600000001</v>
      </c>
      <c r="AY98" s="5">
        <f t="shared" si="133"/>
        <v>0.20126041666666669</v>
      </c>
      <c r="AZ98" s="5">
        <f t="shared" si="134"/>
        <v>1.4519646136363635</v>
      </c>
      <c r="BA98" s="5">
        <f t="shared" si="135"/>
        <v>0.19303945195907049</v>
      </c>
      <c r="BB98" s="469">
        <f t="shared" si="136"/>
        <v>31.351312313451277</v>
      </c>
      <c r="BC98" s="5"/>
      <c r="BD98" s="177">
        <f t="shared" si="163"/>
        <v>0.29284154866153</v>
      </c>
      <c r="BE98" s="177">
        <f t="shared" si="137"/>
        <v>0.35568291389367646</v>
      </c>
      <c r="BF98" s="177">
        <f t="shared" si="138"/>
        <v>0.17784145694683823</v>
      </c>
      <c r="BG98" s="177"/>
      <c r="BH98" s="538">
        <f t="shared" si="139"/>
        <v>3.0014660417869137E-2</v>
      </c>
      <c r="BI98" s="538">
        <f t="shared" si="140"/>
        <v>8.3240658225557068E-2</v>
      </c>
      <c r="BJ98" s="538">
        <f t="shared" si="141"/>
        <v>4.3749999999999995E-3</v>
      </c>
      <c r="BK98" s="538">
        <f t="shared" si="142"/>
        <v>4.6565908480000008E-2</v>
      </c>
      <c r="BL98">
        <f t="shared" si="143"/>
        <v>9.2800000000000001E-3</v>
      </c>
      <c r="BM98">
        <f t="shared" si="144"/>
        <v>2.3625000000000002E-5</v>
      </c>
      <c r="BN98">
        <f t="shared" si="145"/>
        <v>0.17854053607184689</v>
      </c>
      <c r="BO98" s="469">
        <f t="shared" si="164"/>
        <v>178.5405360718469</v>
      </c>
      <c r="BP98" s="177">
        <f t="shared" si="146"/>
        <v>0.11937894806011248</v>
      </c>
      <c r="BQ98" s="177">
        <f t="shared" si="147"/>
        <v>4.7607737015028115E-2</v>
      </c>
      <c r="BR98" s="538"/>
      <c r="BT98" s="469">
        <f t="shared" si="165"/>
        <v>166.98668507514057</v>
      </c>
      <c r="BU98" s="538">
        <f t="shared" si="148"/>
        <v>8.5756172622483261E-3</v>
      </c>
      <c r="BV98" s="538">
        <f t="shared" si="149"/>
        <v>3.7953100570768941E-3</v>
      </c>
      <c r="BW98" s="538">
        <f t="shared" si="150"/>
        <v>1.581379190448706E-3</v>
      </c>
      <c r="BX98" s="538">
        <f t="shared" si="151"/>
        <v>0</v>
      </c>
      <c r="BY98" s="538">
        <f t="shared" si="152"/>
        <v>1.5644044931742023E-2</v>
      </c>
      <c r="BZ98" s="538">
        <f t="shared" si="166"/>
        <v>1.3952306509773926E-2</v>
      </c>
      <c r="CA98" s="641">
        <f t="shared" si="153"/>
        <v>1.4880000000000001E-2</v>
      </c>
      <c r="CB98" s="469">
        <f t="shared" si="167"/>
        <v>30.524044931742026</v>
      </c>
      <c r="CC98" s="177">
        <f t="shared" si="168"/>
        <v>0.37605126607872952</v>
      </c>
      <c r="CD98" s="5">
        <f t="shared" si="169"/>
        <v>4.4640000000000004</v>
      </c>
      <c r="CE98" s="177">
        <f t="shared" si="170"/>
        <v>0.92230428038763412</v>
      </c>
      <c r="CF98" s="5">
        <f t="shared" si="171"/>
        <v>92.230428038763407</v>
      </c>
      <c r="CG98">
        <f t="shared" si="172"/>
        <v>93</v>
      </c>
      <c r="CI98" s="571">
        <f t="shared" si="154"/>
        <v>-50</v>
      </c>
      <c r="CJ98">
        <f t="shared" si="155"/>
        <v>-50</v>
      </c>
    </row>
    <row r="99" spans="5:88" x14ac:dyDescent="0.25">
      <c r="E99" s="174">
        <v>94</v>
      </c>
      <c r="F99" s="221">
        <f t="shared" si="173"/>
        <v>0.188</v>
      </c>
      <c r="G99" s="221">
        <f t="shared" si="156"/>
        <v>9.4E-2</v>
      </c>
      <c r="H99" s="221">
        <f t="shared" si="105"/>
        <v>3.008</v>
      </c>
      <c r="I99" s="221">
        <f t="shared" si="174"/>
        <v>1.504</v>
      </c>
      <c r="J99" s="551">
        <f t="shared" si="106"/>
        <v>32</v>
      </c>
      <c r="K99" s="451">
        <f t="shared" si="107"/>
        <v>19.584</v>
      </c>
      <c r="L99" s="451">
        <f t="shared" si="108"/>
        <v>51.584000000000003</v>
      </c>
      <c r="M99" s="451"/>
      <c r="N99" s="221">
        <f t="shared" si="109"/>
        <v>0.37965260545905705</v>
      </c>
      <c r="O99" s="176">
        <f t="shared" si="157"/>
        <v>5.4669975186104214</v>
      </c>
      <c r="P99" s="176">
        <f t="shared" si="110"/>
        <v>2.7334987593052107</v>
      </c>
      <c r="Q99" s="221">
        <f t="shared" si="111"/>
        <v>0.34168734491315134</v>
      </c>
      <c r="R99" s="221">
        <f t="shared" si="112"/>
        <v>0.34168734491315134</v>
      </c>
      <c r="S99" s="451">
        <f t="shared" si="113"/>
        <v>16</v>
      </c>
      <c r="T99" s="221">
        <f t="shared" si="114"/>
        <v>0.82531590413943368</v>
      </c>
      <c r="U99" s="221">
        <f t="shared" si="115"/>
        <v>0.77373366013071909</v>
      </c>
      <c r="V99" s="221">
        <f t="shared" si="116"/>
        <v>1.2642706864881033</v>
      </c>
      <c r="W99" s="201">
        <f t="shared" si="117"/>
        <v>350</v>
      </c>
      <c r="X99" s="451">
        <f t="shared" si="158"/>
        <v>350</v>
      </c>
      <c r="Z99" s="221">
        <f t="shared" si="118"/>
        <v>1.1570365118752215</v>
      </c>
      <c r="AA99" s="177">
        <f t="shared" si="119"/>
        <v>1.7724211272598367</v>
      </c>
      <c r="AB99" s="177">
        <f t="shared" si="120"/>
        <v>0.2871058342122137</v>
      </c>
      <c r="AC99" s="177"/>
      <c r="AD99" s="177">
        <f t="shared" si="121"/>
        <v>0.4595588235294118</v>
      </c>
      <c r="AE99" s="555">
        <f t="shared" si="122"/>
        <v>3409.066666666668</v>
      </c>
      <c r="AF99" s="538">
        <f t="shared" si="123"/>
        <v>1.9301470588235291E-2</v>
      </c>
      <c r="AH99" s="177">
        <f t="shared" si="124"/>
        <v>0.9270537047164914</v>
      </c>
      <c r="AI99" s="177">
        <f t="shared" si="125"/>
        <v>0.9270537047164914</v>
      </c>
      <c r="AJ99" s="177">
        <f t="shared" si="126"/>
        <v>1.6644842257159196</v>
      </c>
      <c r="AL99" s="555">
        <f t="shared" si="127"/>
        <v>188</v>
      </c>
      <c r="AM99" s="469">
        <f t="shared" si="128"/>
        <v>350</v>
      </c>
      <c r="AO99">
        <f t="shared" si="159"/>
        <v>188</v>
      </c>
      <c r="AP99">
        <f t="shared" si="129"/>
        <v>350</v>
      </c>
      <c r="AR99" s="5">
        <f t="shared" si="160"/>
        <v>2.8571428571428572</v>
      </c>
      <c r="AS99" s="5">
        <f t="shared" si="130"/>
        <v>0.86911284817171075</v>
      </c>
      <c r="AT99" s="5">
        <f t="shared" si="161"/>
        <v>1.9880300089711465</v>
      </c>
      <c r="AU99" s="177">
        <f t="shared" si="162"/>
        <v>0.30418949686009877</v>
      </c>
      <c r="AW99" s="5">
        <f t="shared" si="131"/>
        <v>0.80504166666666677</v>
      </c>
      <c r="AX99" s="5">
        <f t="shared" si="132"/>
        <v>1.7021357066666665</v>
      </c>
      <c r="AY99" s="5">
        <f t="shared" si="133"/>
        <v>0.20126041666666669</v>
      </c>
      <c r="AZ99" s="5">
        <f t="shared" si="134"/>
        <v>1.4813360303030298</v>
      </c>
      <c r="BA99" s="5">
        <f t="shared" si="135"/>
        <v>0.19466127171175809</v>
      </c>
      <c r="BB99" s="469">
        <f t="shared" si="136"/>
        <v>31.615803473881293</v>
      </c>
      <c r="BC99" s="5"/>
      <c r="BD99" s="177">
        <f t="shared" si="163"/>
        <v>0.29520001396231377</v>
      </c>
      <c r="BE99" s="177">
        <f t="shared" si="137"/>
        <v>0.35717392266096049</v>
      </c>
      <c r="BF99" s="177">
        <f t="shared" si="138"/>
        <v>0.17858696133048024</v>
      </c>
      <c r="BG99" s="177"/>
      <c r="BH99" s="538">
        <f t="shared" si="139"/>
        <v>3.0500066885172584E-2</v>
      </c>
      <c r="BI99" s="538">
        <f t="shared" si="140"/>
        <v>8.3686992032167132E-2</v>
      </c>
      <c r="BJ99" s="538">
        <f t="shared" si="141"/>
        <v>4.3749999999999995E-3</v>
      </c>
      <c r="BK99" s="538">
        <f t="shared" si="142"/>
        <v>4.6565908480000008E-2</v>
      </c>
      <c r="BL99">
        <f t="shared" si="143"/>
        <v>9.2800000000000001E-3</v>
      </c>
      <c r="BM99">
        <f t="shared" si="144"/>
        <v>2.3625000000000002E-5</v>
      </c>
      <c r="BN99">
        <f t="shared" si="145"/>
        <v>0.17955953000789598</v>
      </c>
      <c r="BO99" s="469">
        <f t="shared" si="164"/>
        <v>179.55953000789597</v>
      </c>
      <c r="BP99" s="177">
        <f t="shared" si="146"/>
        <v>0.12054896661308481</v>
      </c>
      <c r="BQ99" s="177">
        <f t="shared" si="147"/>
        <v>4.8091241653271201E-2</v>
      </c>
      <c r="BR99" s="538"/>
      <c r="BT99" s="469">
        <f t="shared" si="165"/>
        <v>168.64020826635601</v>
      </c>
      <c r="BU99" s="538">
        <f t="shared" si="148"/>
        <v>8.7143048243350247E-3</v>
      </c>
      <c r="BV99" s="538">
        <f t="shared" si="149"/>
        <v>3.8271963308705334E-3</v>
      </c>
      <c r="BW99" s="538">
        <f t="shared" si="150"/>
        <v>1.5946651378627224E-3</v>
      </c>
      <c r="BX99" s="538">
        <f t="shared" si="151"/>
        <v>0</v>
      </c>
      <c r="BY99" s="538">
        <f t="shared" si="152"/>
        <v>1.5850431394957756E-2</v>
      </c>
      <c r="BZ99" s="538">
        <f t="shared" si="166"/>
        <v>1.413616629306828E-2</v>
      </c>
      <c r="CA99" s="641">
        <f t="shared" si="153"/>
        <v>1.5040000000000006E-2</v>
      </c>
      <c r="CB99" s="469">
        <f t="shared" si="167"/>
        <v>30.890431394957766</v>
      </c>
      <c r="CC99" s="177">
        <f t="shared" si="168"/>
        <v>0.37909016966920978</v>
      </c>
      <c r="CD99" s="5">
        <f t="shared" si="169"/>
        <v>4.5120000000000005</v>
      </c>
      <c r="CE99" s="177">
        <f t="shared" si="170"/>
        <v>0.92249372705904376</v>
      </c>
      <c r="CF99" s="5">
        <f t="shared" si="171"/>
        <v>92.249372705904378</v>
      </c>
      <c r="CG99">
        <f t="shared" si="172"/>
        <v>94</v>
      </c>
      <c r="CI99" s="571">
        <f t="shared" si="154"/>
        <v>-50</v>
      </c>
      <c r="CJ99">
        <f t="shared" si="155"/>
        <v>-50</v>
      </c>
    </row>
    <row r="100" spans="5:88" x14ac:dyDescent="0.25">
      <c r="E100" s="174">
        <v>95</v>
      </c>
      <c r="F100" s="221">
        <f t="shared" si="173"/>
        <v>0.19</v>
      </c>
      <c r="G100" s="221">
        <f t="shared" si="156"/>
        <v>9.5000000000000001E-2</v>
      </c>
      <c r="H100" s="221">
        <f t="shared" si="105"/>
        <v>3.04</v>
      </c>
      <c r="I100" s="221">
        <f t="shared" si="174"/>
        <v>1.52</v>
      </c>
      <c r="J100" s="551">
        <f t="shared" si="106"/>
        <v>32</v>
      </c>
      <c r="K100" s="451">
        <f t="shared" si="107"/>
        <v>19.584</v>
      </c>
      <c r="L100" s="451">
        <f t="shared" si="108"/>
        <v>51.584000000000003</v>
      </c>
      <c r="M100" s="451"/>
      <c r="N100" s="221">
        <f t="shared" si="109"/>
        <v>0.37965260545905705</v>
      </c>
      <c r="O100" s="176">
        <f t="shared" si="157"/>
        <v>5.4669975186104214</v>
      </c>
      <c r="P100" s="176">
        <f t="shared" si="110"/>
        <v>2.7334987593052107</v>
      </c>
      <c r="Q100" s="221">
        <f t="shared" si="111"/>
        <v>0.34168734491315134</v>
      </c>
      <c r="R100" s="221">
        <f t="shared" si="112"/>
        <v>0.34168734491315134</v>
      </c>
      <c r="S100" s="451">
        <f t="shared" si="113"/>
        <v>16</v>
      </c>
      <c r="T100" s="221">
        <f t="shared" si="114"/>
        <v>0.83409586056644891</v>
      </c>
      <c r="U100" s="221">
        <f t="shared" si="115"/>
        <v>0.78196486928104592</v>
      </c>
      <c r="V100" s="221">
        <f t="shared" si="116"/>
        <v>1.2777203746422319</v>
      </c>
      <c r="W100" s="201">
        <f t="shared" si="117"/>
        <v>350</v>
      </c>
      <c r="X100" s="451">
        <f t="shared" si="158"/>
        <v>350</v>
      </c>
      <c r="Z100" s="221">
        <f t="shared" si="118"/>
        <v>1.1570365118752215</v>
      </c>
      <c r="AA100" s="177">
        <f t="shared" si="119"/>
        <v>1.7724211272598367</v>
      </c>
      <c r="AB100" s="177">
        <f t="shared" si="120"/>
        <v>0.2871058342122137</v>
      </c>
      <c r="AC100" s="177"/>
      <c r="AD100" s="177">
        <f t="shared" si="121"/>
        <v>0.4595588235294118</v>
      </c>
      <c r="AE100" s="555">
        <f t="shared" si="122"/>
        <v>3445.3333333333339</v>
      </c>
      <c r="AF100" s="538">
        <f t="shared" si="123"/>
        <v>1.9301470588235291E-2</v>
      </c>
      <c r="AH100" s="177">
        <f t="shared" si="124"/>
        <v>0.93197179601714808</v>
      </c>
      <c r="AI100" s="177">
        <f t="shared" si="125"/>
        <v>0.93197179601714808</v>
      </c>
      <c r="AJ100" s="177">
        <f t="shared" si="126"/>
        <v>1.6681272563089986</v>
      </c>
      <c r="AL100" s="555">
        <f t="shared" si="127"/>
        <v>190</v>
      </c>
      <c r="AM100" s="469">
        <f t="shared" si="128"/>
        <v>350</v>
      </c>
      <c r="AO100">
        <f t="shared" si="159"/>
        <v>190</v>
      </c>
      <c r="AP100">
        <f t="shared" si="129"/>
        <v>350</v>
      </c>
      <c r="AR100" s="5">
        <f t="shared" si="160"/>
        <v>2.8571428571428572</v>
      </c>
      <c r="AS100" s="5">
        <f t="shared" si="130"/>
        <v>0.87372355876607632</v>
      </c>
      <c r="AT100" s="5">
        <f t="shared" si="161"/>
        <v>1.9834192983767809</v>
      </c>
      <c r="AU100" s="177">
        <f t="shared" si="162"/>
        <v>0.30580324556812671</v>
      </c>
      <c r="AW100" s="5">
        <f t="shared" si="131"/>
        <v>0.80504166666666677</v>
      </c>
      <c r="AX100" s="5">
        <f t="shared" si="132"/>
        <v>1.7324801666666665</v>
      </c>
      <c r="AY100" s="5">
        <f t="shared" si="133"/>
        <v>0.20126041666666669</v>
      </c>
      <c r="AZ100" s="5">
        <f t="shared" si="134"/>
        <v>1.5110001893939391</v>
      </c>
      <c r="BA100" s="5">
        <f t="shared" si="135"/>
        <v>0.19627586806853561</v>
      </c>
      <c r="BB100" s="469">
        <f t="shared" si="136"/>
        <v>31.879138890965706</v>
      </c>
      <c r="BC100" s="5"/>
      <c r="BD100" s="177">
        <f t="shared" si="163"/>
        <v>0.29755221494996315</v>
      </c>
      <c r="BE100" s="177">
        <f t="shared" si="137"/>
        <v>0.35865213354641501</v>
      </c>
      <c r="BF100" s="177">
        <f t="shared" si="138"/>
        <v>0.1793260667732075</v>
      </c>
      <c r="BG100" s="177"/>
      <c r="BH100" s="538">
        <f t="shared" si="139"/>
        <v>3.0988062217570174E-2</v>
      </c>
      <c r="BI100" s="538">
        <f t="shared" si="140"/>
        <v>8.4130957970059997E-2</v>
      </c>
      <c r="BJ100" s="538">
        <f t="shared" si="141"/>
        <v>4.3749999999999995E-3</v>
      </c>
      <c r="BK100" s="538">
        <f t="shared" si="142"/>
        <v>4.6565908480000008E-2</v>
      </c>
      <c r="BL100">
        <f t="shared" si="143"/>
        <v>9.2800000000000001E-3</v>
      </c>
      <c r="BM100">
        <f t="shared" si="144"/>
        <v>2.3625000000000002E-5</v>
      </c>
      <c r="BN100">
        <f t="shared" si="145"/>
        <v>0.18057936803264019</v>
      </c>
      <c r="BO100" s="469">
        <f t="shared" si="164"/>
        <v>180.57936803264019</v>
      </c>
      <c r="BP100" s="177">
        <f t="shared" si="146"/>
        <v>0.12171717680680509</v>
      </c>
      <c r="BQ100" s="177">
        <f t="shared" si="147"/>
        <v>4.8574294201701271E-2</v>
      </c>
      <c r="BR100" s="538"/>
      <c r="BT100" s="469">
        <f t="shared" si="165"/>
        <v>170.29147100850636</v>
      </c>
      <c r="BU100" s="538">
        <f t="shared" si="148"/>
        <v>8.8537320621629081E-3</v>
      </c>
      <c r="BV100" s="538">
        <f t="shared" si="149"/>
        <v>3.8589405869218648E-3</v>
      </c>
      <c r="BW100" s="538">
        <f t="shared" si="150"/>
        <v>1.6078919112174437E-3</v>
      </c>
      <c r="BX100" s="538">
        <f t="shared" si="151"/>
        <v>0</v>
      </c>
      <c r="BY100" s="538">
        <f t="shared" si="152"/>
        <v>1.6057428422770543E-2</v>
      </c>
      <c r="BZ100" s="538">
        <f t="shared" si="166"/>
        <v>1.4320564560302217E-2</v>
      </c>
      <c r="CA100" s="641">
        <f t="shared" si="153"/>
        <v>1.5200000000000003E-2</v>
      </c>
      <c r="CB100" s="469">
        <f t="shared" si="167"/>
        <v>31.257428422770545</v>
      </c>
      <c r="CC100" s="177">
        <f t="shared" si="168"/>
        <v>0.38212826746391709</v>
      </c>
      <c r="CD100" s="5">
        <f t="shared" si="169"/>
        <v>4.5600000000000005</v>
      </c>
      <c r="CE100" s="177">
        <f t="shared" si="170"/>
        <v>0.92267941122054109</v>
      </c>
      <c r="CF100" s="5">
        <f t="shared" si="171"/>
        <v>92.267941122054111</v>
      </c>
      <c r="CG100">
        <f t="shared" si="172"/>
        <v>95</v>
      </c>
      <c r="CI100" s="571">
        <f t="shared" si="154"/>
        <v>-50</v>
      </c>
      <c r="CJ100">
        <f t="shared" si="155"/>
        <v>-50</v>
      </c>
    </row>
    <row r="101" spans="5:88" x14ac:dyDescent="0.25">
      <c r="E101" s="174">
        <v>96</v>
      </c>
      <c r="F101" s="221">
        <f t="shared" si="173"/>
        <v>0.192</v>
      </c>
      <c r="G101" s="221">
        <f t="shared" si="156"/>
        <v>9.6000000000000002E-2</v>
      </c>
      <c r="H101" s="221">
        <f t="shared" si="105"/>
        <v>3.0720000000000001</v>
      </c>
      <c r="I101" s="221">
        <f t="shared" si="174"/>
        <v>1.536</v>
      </c>
      <c r="J101" s="551">
        <f t="shared" si="106"/>
        <v>32</v>
      </c>
      <c r="K101" s="451">
        <f t="shared" si="107"/>
        <v>19.584</v>
      </c>
      <c r="L101" s="451">
        <f t="shared" si="108"/>
        <v>51.584000000000003</v>
      </c>
      <c r="M101" s="451"/>
      <c r="N101" s="221">
        <f t="shared" si="109"/>
        <v>0.37965260545905705</v>
      </c>
      <c r="O101" s="176">
        <f t="shared" si="157"/>
        <v>5.4669975186104214</v>
      </c>
      <c r="P101" s="176">
        <f t="shared" si="110"/>
        <v>2.7334987593052107</v>
      </c>
      <c r="Q101" s="221">
        <f t="shared" si="111"/>
        <v>0.34168734491315134</v>
      </c>
      <c r="R101" s="221">
        <f t="shared" si="112"/>
        <v>0.34168734491315134</v>
      </c>
      <c r="S101" s="451">
        <f t="shared" si="113"/>
        <v>16</v>
      </c>
      <c r="T101" s="221">
        <f t="shared" si="114"/>
        <v>0.84287581699346426</v>
      </c>
      <c r="U101" s="221">
        <f t="shared" si="115"/>
        <v>0.79019607843137274</v>
      </c>
      <c r="V101" s="221">
        <f t="shared" si="116"/>
        <v>1.2911700627963607</v>
      </c>
      <c r="W101" s="201">
        <f t="shared" si="117"/>
        <v>350</v>
      </c>
      <c r="X101" s="451">
        <f t="shared" si="158"/>
        <v>350</v>
      </c>
      <c r="Z101" s="221">
        <f t="shared" si="118"/>
        <v>1.1570365118752215</v>
      </c>
      <c r="AA101" s="177">
        <f t="shared" si="119"/>
        <v>1.7724211272598367</v>
      </c>
      <c r="AB101" s="177">
        <f t="shared" ref="AB101:AB105" si="175">0.5*AA101*Z101*Nps*W101/1000*(Pout/Pout_total)</f>
        <v>0.2871058342122137</v>
      </c>
      <c r="AC101" s="177"/>
      <c r="AD101" s="177">
        <f t="shared" si="121"/>
        <v>0.4595588235294118</v>
      </c>
      <c r="AE101" s="555">
        <f t="shared" ref="AE101:AE105" si="176">MAX(10, F101/(0.5*AD101/1000000*Isw_min*Nps)/1000*Pout_total/Pout)</f>
        <v>3481.6000000000013</v>
      </c>
      <c r="AF101" s="538">
        <f t="shared" si="123"/>
        <v>1.9301470588235291E-2</v>
      </c>
      <c r="AH101" s="177">
        <f t="shared" si="124"/>
        <v>0.93686407003059191</v>
      </c>
      <c r="AI101" s="177">
        <f t="shared" ref="AI101:AI105" si="177">MAX(IF(F101&gt;AB101,T101,AH101),Isw_min)</f>
        <v>0.93686407003059191</v>
      </c>
      <c r="AJ101" s="177">
        <f t="shared" ref="AJ101:AJ105" si="178">IF(F101&gt;AF101, (AI101-Isw_min)/1.08*0.8+1.2, AE101*0.2/350+1)</f>
        <v>1.6717511629856237</v>
      </c>
      <c r="AL101" s="555">
        <f t="shared" si="127"/>
        <v>192</v>
      </c>
      <c r="AM101" s="469">
        <f t="shared" si="128"/>
        <v>350</v>
      </c>
      <c r="AO101">
        <f t="shared" si="159"/>
        <v>192</v>
      </c>
      <c r="AP101">
        <f t="shared" si="129"/>
        <v>350</v>
      </c>
      <c r="AR101" s="5">
        <f t="shared" si="160"/>
        <v>2.8571428571428572</v>
      </c>
      <c r="AS101" s="5">
        <f t="shared" si="130"/>
        <v>0.87831006565367986</v>
      </c>
      <c r="AT101" s="5">
        <f t="shared" si="161"/>
        <v>1.9788327914891775</v>
      </c>
      <c r="AU101" s="177">
        <f t="shared" si="162"/>
        <v>0.30740852297878796</v>
      </c>
      <c r="AW101" s="5">
        <f t="shared" si="131"/>
        <v>0.80504166666666677</v>
      </c>
      <c r="AX101" s="5">
        <f t="shared" si="132"/>
        <v>1.7630822399999997</v>
      </c>
      <c r="AY101" s="5">
        <f t="shared" si="133"/>
        <v>0.20126041666666669</v>
      </c>
      <c r="AZ101" s="5">
        <f t="shared" si="134"/>
        <v>1.5409570909090904</v>
      </c>
      <c r="BA101" s="5">
        <f t="shared" si="135"/>
        <v>0.19788327914891773</v>
      </c>
      <c r="BB101" s="469">
        <f t="shared" si="136"/>
        <v>32.141324663826836</v>
      </c>
      <c r="BC101" s="5"/>
      <c r="BD101" s="177">
        <f t="shared" si="163"/>
        <v>0.29989823394434462</v>
      </c>
      <c r="BE101" s="177">
        <f t="shared" si="137"/>
        <v>0.36011773883416898</v>
      </c>
      <c r="BF101" s="177">
        <f t="shared" si="138"/>
        <v>0.18005886941708449</v>
      </c>
      <c r="BG101" s="177"/>
      <c r="BH101" s="538">
        <f t="shared" si="139"/>
        <v>3.1478632753027896E-2</v>
      </c>
      <c r="BI101" s="538">
        <f t="shared" si="140"/>
        <v>8.4572593329801604E-2</v>
      </c>
      <c r="BJ101" s="538">
        <f t="shared" si="141"/>
        <v>4.3749999999999995E-3</v>
      </c>
      <c r="BK101" s="538">
        <f t="shared" si="142"/>
        <v>4.6565908480000008E-2</v>
      </c>
      <c r="BL101">
        <f t="shared" si="143"/>
        <v>9.2800000000000001E-3</v>
      </c>
      <c r="BM101">
        <f t="shared" si="144"/>
        <v>2.3625000000000002E-5</v>
      </c>
      <c r="BN101">
        <f t="shared" ref="BN101:BN105" si="179">(BI101+BJ101+BK101+BL101+BM101+BH101*(1+RdsonTC*(Ta-25)))/(1-BH101*RdsonTC*ThetaJA)</f>
        <v>0.18160007329629585</v>
      </c>
      <c r="BO101" s="469">
        <f t="shared" si="164"/>
        <v>181.60007329629585</v>
      </c>
      <c r="BP101" s="177">
        <f t="shared" si="146"/>
        <v>0.12288358818439928</v>
      </c>
      <c r="BQ101" s="177">
        <f t="shared" si="147"/>
        <v>4.905689704609982E-2</v>
      </c>
      <c r="BR101" s="538"/>
      <c r="BT101" s="469">
        <f t="shared" si="165"/>
        <v>171.94048523049909</v>
      </c>
      <c r="BU101" s="538">
        <f t="shared" si="148"/>
        <v>8.9938950722936849E-3</v>
      </c>
      <c r="BV101" s="538">
        <f t="shared" si="149"/>
        <v>3.8905435746910424E-3</v>
      </c>
      <c r="BW101" s="538">
        <f t="shared" si="150"/>
        <v>1.6210598227879344E-3</v>
      </c>
      <c r="BX101" s="538">
        <f t="shared" si="151"/>
        <v>0</v>
      </c>
      <c r="BY101" s="538">
        <f t="shared" ref="BY101:BY164" si="180">(BX101+(BU101+BV101+BW101)*(1+Ltc*(Ta-25)))/(1-(BU101+BV101+BW101)*Ltc*ThetaCa)</f>
        <v>1.6265032878908247E-2</v>
      </c>
      <c r="BZ101" s="538">
        <f t="shared" si="166"/>
        <v>1.4505498469772662E-2</v>
      </c>
      <c r="CA101" s="641">
        <f t="shared" si="153"/>
        <v>1.5360000000000002E-2</v>
      </c>
      <c r="CB101" s="469">
        <f t="shared" si="167"/>
        <v>31.62503287890825</v>
      </c>
      <c r="CC101" s="177">
        <f t="shared" si="168"/>
        <v>0.38516559140570317</v>
      </c>
      <c r="CD101" s="5">
        <f t="shared" si="169"/>
        <v>4.6080000000000005</v>
      </c>
      <c r="CE101" s="177">
        <f t="shared" si="170"/>
        <v>0.92286144243470425</v>
      </c>
      <c r="CF101" s="5">
        <f t="shared" si="171"/>
        <v>92.286144243470432</v>
      </c>
      <c r="CG101">
        <f t="shared" si="172"/>
        <v>96</v>
      </c>
      <c r="CI101" s="571">
        <f t="shared" si="154"/>
        <v>-50</v>
      </c>
      <c r="CJ101">
        <f t="shared" si="155"/>
        <v>-50</v>
      </c>
    </row>
    <row r="102" spans="5:88" x14ac:dyDescent="0.25">
      <c r="E102" s="174">
        <v>97</v>
      </c>
      <c r="F102" s="221">
        <f t="shared" si="173"/>
        <v>0.19400000000000001</v>
      </c>
      <c r="G102" s="221">
        <f t="shared" si="156"/>
        <v>9.7000000000000003E-2</v>
      </c>
      <c r="H102" s="221">
        <f t="shared" si="105"/>
        <v>3.1040000000000001</v>
      </c>
      <c r="I102" s="221">
        <f t="shared" si="174"/>
        <v>1.552</v>
      </c>
      <c r="J102" s="551">
        <f t="shared" si="106"/>
        <v>32</v>
      </c>
      <c r="K102" s="451">
        <f t="shared" si="107"/>
        <v>19.584</v>
      </c>
      <c r="L102" s="451">
        <f t="shared" si="108"/>
        <v>51.584000000000003</v>
      </c>
      <c r="M102" s="451"/>
      <c r="N102" s="221">
        <f t="shared" si="109"/>
        <v>0.37965260545905705</v>
      </c>
      <c r="O102" s="176">
        <f t="shared" ref="O102:O105" si="181">N102*J102*Isw_max*0.5*Efficiency*Pout/(Pout+Pout2)</f>
        <v>5.4669975186104214</v>
      </c>
      <c r="P102" s="176">
        <f t="shared" si="110"/>
        <v>2.7334987593052107</v>
      </c>
      <c r="Q102" s="221">
        <f t="shared" si="111"/>
        <v>0.34168734491315134</v>
      </c>
      <c r="R102" s="221">
        <f t="shared" si="112"/>
        <v>0.34168734491315134</v>
      </c>
      <c r="S102" s="451">
        <f t="shared" si="113"/>
        <v>16</v>
      </c>
      <c r="T102" s="221">
        <f t="shared" si="114"/>
        <v>0.85165577342047949</v>
      </c>
      <c r="U102" s="221">
        <f t="shared" si="115"/>
        <v>0.79842728758169945</v>
      </c>
      <c r="V102" s="221">
        <f t="shared" si="116"/>
        <v>1.3046197509504893</v>
      </c>
      <c r="W102" s="201">
        <f t="shared" si="117"/>
        <v>350</v>
      </c>
      <c r="X102" s="451">
        <f t="shared" si="158"/>
        <v>350</v>
      </c>
      <c r="Z102" s="221">
        <f t="shared" si="118"/>
        <v>1.1570365118752215</v>
      </c>
      <c r="AA102" s="177">
        <f t="shared" si="119"/>
        <v>1.7724211272598367</v>
      </c>
      <c r="AB102" s="177">
        <f t="shared" si="175"/>
        <v>0.2871058342122137</v>
      </c>
      <c r="AC102" s="177"/>
      <c r="AD102" s="177">
        <f t="shared" si="121"/>
        <v>0.4595588235294118</v>
      </c>
      <c r="AE102" s="555">
        <f t="shared" si="176"/>
        <v>3517.8666666666672</v>
      </c>
      <c r="AF102" s="538">
        <f t="shared" si="123"/>
        <v>1.9301470588235291E-2</v>
      </c>
      <c r="AH102" s="177">
        <f t="shared" si="124"/>
        <v>0.94173092911783618</v>
      </c>
      <c r="AI102" s="177">
        <f t="shared" si="177"/>
        <v>0.94173092911783618</v>
      </c>
      <c r="AJ102" s="177">
        <f t="shared" si="178"/>
        <v>1.6753562437909897</v>
      </c>
      <c r="AL102" s="555">
        <f t="shared" si="127"/>
        <v>194</v>
      </c>
      <c r="AM102" s="469">
        <f t="shared" si="128"/>
        <v>350</v>
      </c>
      <c r="AO102">
        <f t="shared" si="159"/>
        <v>194</v>
      </c>
      <c r="AP102">
        <f t="shared" si="129"/>
        <v>350</v>
      </c>
      <c r="AR102" s="5">
        <f t="shared" si="160"/>
        <v>2.8571428571428572</v>
      </c>
      <c r="AS102" s="5">
        <f t="shared" si="130"/>
        <v>0.8828727460479715</v>
      </c>
      <c r="AT102" s="5">
        <f t="shared" si="161"/>
        <v>1.9742701110948857</v>
      </c>
      <c r="AU102" s="177">
        <f t="shared" si="162"/>
        <v>0.30900546111679</v>
      </c>
      <c r="AW102" s="5">
        <f t="shared" si="131"/>
        <v>0.80504166666666677</v>
      </c>
      <c r="AX102" s="5">
        <f t="shared" si="132"/>
        <v>1.7939419266666665</v>
      </c>
      <c r="AY102" s="5">
        <f t="shared" si="133"/>
        <v>0.20126041666666669</v>
      </c>
      <c r="AZ102" s="5">
        <f t="shared" si="134"/>
        <v>1.5712067348484846</v>
      </c>
      <c r="BA102" s="5">
        <f t="shared" si="135"/>
        <v>0.19948354247521241</v>
      </c>
      <c r="BB102" s="469">
        <f t="shared" si="136"/>
        <v>32.402366796033981</v>
      </c>
      <c r="BC102" s="5"/>
      <c r="BD102" s="177">
        <f t="shared" si="163"/>
        <v>0.30223815133836124</v>
      </c>
      <c r="BE102" s="177">
        <f t="shared" si="137"/>
        <v>0.36157092581754302</v>
      </c>
      <c r="BF102" s="177">
        <f t="shared" si="138"/>
        <v>0.18078546290877151</v>
      </c>
      <c r="BG102" s="177"/>
      <c r="BH102" s="538">
        <f t="shared" si="139"/>
        <v>3.1971765043550551E-2</v>
      </c>
      <c r="BI102" s="538">
        <f t="shared" si="140"/>
        <v>8.5011934433325304E-2</v>
      </c>
      <c r="BJ102" s="538">
        <f t="shared" si="141"/>
        <v>4.3749999999999995E-3</v>
      </c>
      <c r="BK102" s="538">
        <f t="shared" si="142"/>
        <v>4.6565908480000008E-2</v>
      </c>
      <c r="BL102">
        <f t="shared" si="143"/>
        <v>9.2800000000000001E-3</v>
      </c>
      <c r="BM102">
        <f t="shared" si="144"/>
        <v>2.3625000000000002E-5</v>
      </c>
      <c r="BN102">
        <f t="shared" si="179"/>
        <v>0.18262166822687703</v>
      </c>
      <c r="BO102" s="469">
        <f t="shared" si="164"/>
        <v>182.62166822687703</v>
      </c>
      <c r="BP102" s="177">
        <f t="shared" si="146"/>
        <v>0.1240482101394841</v>
      </c>
      <c r="BQ102" s="177">
        <f t="shared" si="147"/>
        <v>4.9539052534871023E-2</v>
      </c>
      <c r="BR102" s="538"/>
      <c r="BT102" s="469">
        <f t="shared" si="165"/>
        <v>173.58726267435512</v>
      </c>
      <c r="BU102" s="538">
        <f t="shared" si="148"/>
        <v>9.1347900124430156E-3</v>
      </c>
      <c r="BV102" s="538">
        <f t="shared" si="149"/>
        <v>3.9220060318966559E-3</v>
      </c>
      <c r="BW102" s="538">
        <f t="shared" si="150"/>
        <v>1.63416917995694E-3</v>
      </c>
      <c r="BX102" s="538">
        <f t="shared" si="151"/>
        <v>0</v>
      </c>
      <c r="BY102" s="538">
        <f t="shared" si="180"/>
        <v>1.6473241676860699E-2</v>
      </c>
      <c r="BZ102" s="538">
        <f t="shared" si="166"/>
        <v>1.4690965224296611E-2</v>
      </c>
      <c r="CA102" s="641">
        <f t="shared" si="153"/>
        <v>1.5520000000000004E-2</v>
      </c>
      <c r="CB102" s="469">
        <f t="shared" si="167"/>
        <v>31.993241676860706</v>
      </c>
      <c r="CC102" s="177">
        <f t="shared" si="168"/>
        <v>0.38820217257809281</v>
      </c>
      <c r="CD102" s="5">
        <f t="shared" si="169"/>
        <v>4.6560000000000006</v>
      </c>
      <c r="CE102" s="177">
        <f t="shared" si="170"/>
        <v>0.92303992597908058</v>
      </c>
      <c r="CF102" s="5">
        <f t="shared" si="171"/>
        <v>92.303992597908064</v>
      </c>
      <c r="CG102">
        <f t="shared" si="172"/>
        <v>97</v>
      </c>
      <c r="CI102" s="571">
        <f t="shared" si="154"/>
        <v>-50</v>
      </c>
      <c r="CJ102">
        <f t="shared" si="155"/>
        <v>-50</v>
      </c>
    </row>
    <row r="103" spans="5:88" x14ac:dyDescent="0.25">
      <c r="E103" s="174">
        <v>98</v>
      </c>
      <c r="F103" s="221">
        <f t="shared" si="173"/>
        <v>0.19600000000000001</v>
      </c>
      <c r="G103" s="221">
        <f t="shared" si="156"/>
        <v>9.8000000000000004E-2</v>
      </c>
      <c r="H103" s="221">
        <f t="shared" si="105"/>
        <v>3.1360000000000001</v>
      </c>
      <c r="I103" s="221">
        <f t="shared" si="174"/>
        <v>1.5680000000000001</v>
      </c>
      <c r="J103" s="551">
        <f t="shared" si="106"/>
        <v>32</v>
      </c>
      <c r="K103" s="451">
        <f t="shared" si="107"/>
        <v>19.584</v>
      </c>
      <c r="L103" s="451">
        <f t="shared" si="108"/>
        <v>51.584000000000003</v>
      </c>
      <c r="M103" s="451"/>
      <c r="N103" s="221">
        <f t="shared" si="109"/>
        <v>0.37965260545905705</v>
      </c>
      <c r="O103" s="176">
        <f t="shared" si="181"/>
        <v>5.4669975186104214</v>
      </c>
      <c r="P103" s="176">
        <f t="shared" si="110"/>
        <v>2.7334987593052107</v>
      </c>
      <c r="Q103" s="221">
        <f t="shared" si="111"/>
        <v>0.34168734491315134</v>
      </c>
      <c r="R103" s="221">
        <f t="shared" si="112"/>
        <v>0.34168734491315134</v>
      </c>
      <c r="S103" s="451">
        <f t="shared" si="113"/>
        <v>16</v>
      </c>
      <c r="T103" s="221">
        <f t="shared" si="114"/>
        <v>0.86043572984749472</v>
      </c>
      <c r="U103" s="221">
        <f t="shared" si="115"/>
        <v>0.80665849673202639</v>
      </c>
      <c r="V103" s="221">
        <f t="shared" si="116"/>
        <v>1.3180694391046182</v>
      </c>
      <c r="W103" s="201">
        <f t="shared" si="117"/>
        <v>350</v>
      </c>
      <c r="X103" s="451">
        <f t="shared" si="158"/>
        <v>350</v>
      </c>
      <c r="Z103" s="221">
        <f t="shared" si="118"/>
        <v>1.1570365118752215</v>
      </c>
      <c r="AA103" s="177">
        <f t="shared" si="119"/>
        <v>1.7724211272598367</v>
      </c>
      <c r="AB103" s="177">
        <f t="shared" si="175"/>
        <v>0.2871058342122137</v>
      </c>
      <c r="AC103" s="177"/>
      <c r="AD103" s="177">
        <f t="shared" si="121"/>
        <v>0.4595588235294118</v>
      </c>
      <c r="AE103" s="555">
        <f t="shared" si="176"/>
        <v>3554.1333333333341</v>
      </c>
      <c r="AF103" s="538">
        <f t="shared" si="123"/>
        <v>1.9301470588235291E-2</v>
      </c>
      <c r="AH103" s="177">
        <f t="shared" si="124"/>
        <v>0.94657276529593859</v>
      </c>
      <c r="AI103" s="177">
        <f t="shared" si="177"/>
        <v>0.94657276529593859</v>
      </c>
      <c r="AJ103" s="177">
        <f t="shared" si="178"/>
        <v>1.6789427891081026</v>
      </c>
      <c r="AL103" s="555">
        <f t="shared" si="127"/>
        <v>196</v>
      </c>
      <c r="AM103" s="469">
        <f t="shared" si="128"/>
        <v>350</v>
      </c>
      <c r="AO103">
        <f t="shared" si="159"/>
        <v>196</v>
      </c>
      <c r="AP103">
        <f t="shared" si="129"/>
        <v>350</v>
      </c>
      <c r="AR103" s="5">
        <f t="shared" si="160"/>
        <v>2.8571428571428572</v>
      </c>
      <c r="AS103" s="5">
        <f t="shared" si="130"/>
        <v>0.88741196746494244</v>
      </c>
      <c r="AT103" s="5">
        <f t="shared" si="161"/>
        <v>1.9697308896779147</v>
      </c>
      <c r="AU103" s="177">
        <f t="shared" si="162"/>
        <v>0.31059418861272986</v>
      </c>
      <c r="AW103" s="5">
        <f t="shared" si="131"/>
        <v>0.80504166666666677</v>
      </c>
      <c r="AX103" s="5">
        <f t="shared" si="132"/>
        <v>1.8250592266666668</v>
      </c>
      <c r="AY103" s="5">
        <f t="shared" si="133"/>
        <v>0.20126041666666669</v>
      </c>
      <c r="AZ103" s="5">
        <f t="shared" si="134"/>
        <v>1.6017491212121211</v>
      </c>
      <c r="BA103" s="5">
        <f t="shared" si="135"/>
        <v>0.2010766949879538</v>
      </c>
      <c r="BB103" s="469">
        <f t="shared" si="136"/>
        <v>32.662271198072609</v>
      </c>
      <c r="BC103" s="5"/>
      <c r="BD103" s="177">
        <f t="shared" si="163"/>
        <v>0.30457204566243762</v>
      </c>
      <c r="BE103" s="177">
        <f t="shared" si="137"/>
        <v>0.36301187697829584</v>
      </c>
      <c r="BF103" s="177">
        <f t="shared" si="138"/>
        <v>0.18150593848914792</v>
      </c>
      <c r="BG103" s="177"/>
      <c r="BH103" s="538">
        <f t="shared" si="139"/>
        <v>3.2467445849650695E-2</v>
      </c>
      <c r="BI103" s="538">
        <f t="shared" si="140"/>
        <v>8.544901666879498E-2</v>
      </c>
      <c r="BJ103" s="538">
        <f t="shared" si="141"/>
        <v>4.3749999999999995E-3</v>
      </c>
      <c r="BK103" s="538">
        <f t="shared" si="142"/>
        <v>4.6565908480000008E-2</v>
      </c>
      <c r="BL103">
        <f t="shared" si="143"/>
        <v>9.2800000000000001E-3</v>
      </c>
      <c r="BM103">
        <f t="shared" si="144"/>
        <v>2.3625000000000002E-5</v>
      </c>
      <c r="BN103">
        <f t="shared" si="179"/>
        <v>0.18364417455872351</v>
      </c>
      <c r="BO103" s="469">
        <f t="shared" si="164"/>
        <v>183.64417455872351</v>
      </c>
      <c r="BP103" s="177">
        <f t="shared" si="146"/>
        <v>0.12521105192003068</v>
      </c>
      <c r="BQ103" s="177">
        <f t="shared" si="147"/>
        <v>5.0020762980007669E-2</v>
      </c>
      <c r="BR103" s="538"/>
      <c r="BT103" s="469">
        <f t="shared" si="165"/>
        <v>175.23181490003836</v>
      </c>
      <c r="BU103" s="538">
        <f t="shared" si="148"/>
        <v>9.2764130999001999E-3</v>
      </c>
      <c r="BV103" s="538">
        <f t="shared" si="149"/>
        <v>3.9533286848191622E-3</v>
      </c>
      <c r="BW103" s="538">
        <f t="shared" si="150"/>
        <v>1.6472202853413177E-3</v>
      </c>
      <c r="BX103" s="538">
        <f t="shared" si="151"/>
        <v>0</v>
      </c>
      <c r="BY103" s="538">
        <f t="shared" si="180"/>
        <v>1.6682051778592836E-2</v>
      </c>
      <c r="BZ103" s="538">
        <f t="shared" si="166"/>
        <v>1.487696207006068E-2</v>
      </c>
      <c r="CA103" s="641">
        <f t="shared" si="153"/>
        <v>1.5680000000000003E-2</v>
      </c>
      <c r="CB103" s="469">
        <f t="shared" si="167"/>
        <v>32.362051778592836</v>
      </c>
      <c r="CC103" s="177">
        <f t="shared" si="168"/>
        <v>0.39123804123735473</v>
      </c>
      <c r="CD103" s="5">
        <f t="shared" si="169"/>
        <v>4.7040000000000006</v>
      </c>
      <c r="CE103" s="177">
        <f t="shared" si="170"/>
        <v>0.9232149630555152</v>
      </c>
      <c r="CF103" s="5">
        <f t="shared" si="171"/>
        <v>92.32149630555152</v>
      </c>
      <c r="CG103">
        <f t="shared" si="172"/>
        <v>98</v>
      </c>
      <c r="CI103" s="571">
        <f t="shared" si="154"/>
        <v>-50</v>
      </c>
      <c r="CJ103">
        <f t="shared" si="155"/>
        <v>-50</v>
      </c>
    </row>
    <row r="104" spans="5:88" x14ac:dyDescent="0.25">
      <c r="E104" s="174">
        <v>99</v>
      </c>
      <c r="F104" s="221">
        <f t="shared" ref="F104:F105" si="182">IF(PLOT_TYPE=1, E104/100*Iout_max, min_I*EXP(O104*rr/100))</f>
        <v>0.19800000000000001</v>
      </c>
      <c r="G104" s="221">
        <f t="shared" si="156"/>
        <v>9.9000000000000005E-2</v>
      </c>
      <c r="H104" s="221">
        <f t="shared" si="105"/>
        <v>3.1680000000000001</v>
      </c>
      <c r="I104" s="221">
        <f t="shared" si="174"/>
        <v>1.5840000000000001</v>
      </c>
      <c r="J104" s="551">
        <f t="shared" si="106"/>
        <v>32</v>
      </c>
      <c r="K104" s="451">
        <f t="shared" si="107"/>
        <v>19.584</v>
      </c>
      <c r="L104" s="451">
        <f t="shared" si="108"/>
        <v>51.584000000000003</v>
      </c>
      <c r="M104" s="451"/>
      <c r="N104" s="221">
        <f t="shared" si="109"/>
        <v>0.37965260545905705</v>
      </c>
      <c r="O104" s="176">
        <f t="shared" si="181"/>
        <v>5.4669975186104214</v>
      </c>
      <c r="P104" s="176">
        <f t="shared" si="110"/>
        <v>2.7334987593052107</v>
      </c>
      <c r="Q104" s="221">
        <f t="shared" si="111"/>
        <v>0.34168734491315134</v>
      </c>
      <c r="R104" s="221">
        <f t="shared" si="112"/>
        <v>0.34168734491315134</v>
      </c>
      <c r="S104" s="451">
        <f t="shared" si="113"/>
        <v>16</v>
      </c>
      <c r="T104" s="221">
        <f t="shared" si="114"/>
        <v>0.86921568627450996</v>
      </c>
      <c r="U104" s="221">
        <f t="shared" si="115"/>
        <v>0.8148897058823531</v>
      </c>
      <c r="V104" s="221">
        <f t="shared" si="116"/>
        <v>1.3315191272587468</v>
      </c>
      <c r="W104" s="201">
        <f t="shared" si="117"/>
        <v>350</v>
      </c>
      <c r="X104" s="451">
        <f t="shared" si="158"/>
        <v>350</v>
      </c>
      <c r="Z104" s="221">
        <f t="shared" si="118"/>
        <v>1.1570365118752215</v>
      </c>
      <c r="AA104" s="177">
        <f t="shared" si="119"/>
        <v>1.7724211272598367</v>
      </c>
      <c r="AB104" s="177">
        <f t="shared" si="175"/>
        <v>0.2871058342122137</v>
      </c>
      <c r="AC104" s="177"/>
      <c r="AD104" s="177">
        <f t="shared" si="121"/>
        <v>0.4595588235294118</v>
      </c>
      <c r="AE104" s="555">
        <f t="shared" si="176"/>
        <v>3590.400000000001</v>
      </c>
      <c r="AF104" s="538">
        <f t="shared" si="123"/>
        <v>1.9301470588235291E-2</v>
      </c>
      <c r="AH104" s="177">
        <f t="shared" si="124"/>
        <v>0.95138996060651027</v>
      </c>
      <c r="AI104" s="177">
        <f t="shared" si="177"/>
        <v>0.95138996060651027</v>
      </c>
      <c r="AJ104" s="177">
        <f t="shared" si="178"/>
        <v>1.6825110819307483</v>
      </c>
      <c r="AL104" s="555">
        <f t="shared" si="127"/>
        <v>198</v>
      </c>
      <c r="AM104" s="469">
        <f t="shared" si="128"/>
        <v>350</v>
      </c>
      <c r="AO104">
        <f t="shared" si="159"/>
        <v>198</v>
      </c>
      <c r="AP104">
        <f t="shared" si="129"/>
        <v>350</v>
      </c>
      <c r="AR104" s="5">
        <f t="shared" si="160"/>
        <v>2.8571428571428572</v>
      </c>
      <c r="AS104" s="5">
        <f t="shared" si="130"/>
        <v>0.89192808806860346</v>
      </c>
      <c r="AT104" s="5">
        <f t="shared" si="161"/>
        <v>1.9652147690742536</v>
      </c>
      <c r="AU104" s="177">
        <f t="shared" si="162"/>
        <v>0.31217483082401121</v>
      </c>
      <c r="AW104" s="5">
        <f t="shared" si="131"/>
        <v>0.80504166666666677</v>
      </c>
      <c r="AX104" s="5">
        <f t="shared" si="132"/>
        <v>1.85643414</v>
      </c>
      <c r="AY104" s="5">
        <f t="shared" si="133"/>
        <v>0.20126041666666669</v>
      </c>
      <c r="AZ104" s="5">
        <f t="shared" si="134"/>
        <v>1.6325842499999996</v>
      </c>
      <c r="BA104" s="5">
        <f t="shared" si="135"/>
        <v>0.2026627730607824</v>
      </c>
      <c r="BB104" s="469">
        <f t="shared" si="136"/>
        <v>32.921043689725188</v>
      </c>
      <c r="BC104" s="5"/>
      <c r="BD104" s="177">
        <f t="shared" si="163"/>
        <v>0.30689999364621129</v>
      </c>
      <c r="BE104" s="177">
        <f t="shared" si="137"/>
        <v>0.36444077015766818</v>
      </c>
      <c r="BF104" s="177">
        <f t="shared" si="138"/>
        <v>0.18222038507883409</v>
      </c>
      <c r="BG104" s="177"/>
      <c r="BH104" s="538">
        <f t="shared" si="139"/>
        <v>3.2965662135015582E-2</v>
      </c>
      <c r="BI104" s="538">
        <f t="shared" si="140"/>
        <v>8.588387452387089E-2</v>
      </c>
      <c r="BJ104" s="538">
        <f t="shared" si="141"/>
        <v>4.3749999999999995E-3</v>
      </c>
      <c r="BK104" s="538">
        <f t="shared" si="142"/>
        <v>4.6565908480000008E-2</v>
      </c>
      <c r="BL104">
        <f t="shared" si="143"/>
        <v>9.2800000000000001E-3</v>
      </c>
      <c r="BM104">
        <f t="shared" si="144"/>
        <v>2.3625000000000002E-5</v>
      </c>
      <c r="BN104">
        <f t="shared" si="179"/>
        <v>0.18466761335965839</v>
      </c>
      <c r="BO104" s="469">
        <f t="shared" si="164"/>
        <v>184.66761335965839</v>
      </c>
      <c r="BP104" s="177">
        <f t="shared" si="146"/>
        <v>0.12637212263208966</v>
      </c>
      <c r="BQ104" s="177">
        <f t="shared" si="147"/>
        <v>5.0502030658022418E-2</v>
      </c>
      <c r="BR104" s="538"/>
      <c r="BT104" s="469">
        <f t="shared" si="165"/>
        <v>176.87415329011208</v>
      </c>
      <c r="BU104" s="538">
        <f t="shared" si="148"/>
        <v>9.4187606100044549E-3</v>
      </c>
      <c r="BV104" s="538">
        <f t="shared" si="149"/>
        <v>3.9845122485934296E-3</v>
      </c>
      <c r="BW104" s="538">
        <f t="shared" si="150"/>
        <v>1.6602134369139291E-3</v>
      </c>
      <c r="BX104" s="538">
        <f t="shared" si="151"/>
        <v>0</v>
      </c>
      <c r="BY104" s="538">
        <f t="shared" si="180"/>
        <v>1.6891460193303873E-2</v>
      </c>
      <c r="BZ104" s="538">
        <f t="shared" si="166"/>
        <v>1.5063486295511814E-2</v>
      </c>
      <c r="CA104" s="641">
        <f t="shared" si="153"/>
        <v>1.584E-2</v>
      </c>
      <c r="CB104" s="469">
        <f t="shared" si="167"/>
        <v>32.731460193303874</v>
      </c>
      <c r="CC104" s="177">
        <f t="shared" si="168"/>
        <v>0.39427322684307436</v>
      </c>
      <c r="CD104" s="5">
        <f t="shared" si="169"/>
        <v>4.7520000000000007</v>
      </c>
      <c r="CE104" s="177">
        <f t="shared" si="170"/>
        <v>0.92338665098725492</v>
      </c>
      <c r="CF104" s="5">
        <f t="shared" si="171"/>
        <v>92.338665098725485</v>
      </c>
      <c r="CG104">
        <f t="shared" si="172"/>
        <v>99</v>
      </c>
      <c r="CI104" s="571">
        <f t="shared" si="154"/>
        <v>-50</v>
      </c>
      <c r="CJ104">
        <f t="shared" si="155"/>
        <v>-50</v>
      </c>
    </row>
    <row r="105" spans="5:88" ht="13" x14ac:dyDescent="0.3">
      <c r="E105" s="174">
        <v>100</v>
      </c>
      <c r="F105" s="221">
        <f t="shared" si="182"/>
        <v>0.2</v>
      </c>
      <c r="G105" s="221">
        <f t="shared" si="156"/>
        <v>0.1</v>
      </c>
      <c r="H105" s="221">
        <f t="shared" si="105"/>
        <v>3.2</v>
      </c>
      <c r="I105" s="221">
        <f t="shared" si="174"/>
        <v>1.6</v>
      </c>
      <c r="J105" s="551">
        <f t="shared" si="106"/>
        <v>32</v>
      </c>
      <c r="K105" s="451">
        <f t="shared" si="107"/>
        <v>19.584</v>
      </c>
      <c r="L105" s="451">
        <f t="shared" si="108"/>
        <v>51.584000000000003</v>
      </c>
      <c r="M105" s="451"/>
      <c r="N105" s="221">
        <f t="shared" si="109"/>
        <v>0.37965260545905705</v>
      </c>
      <c r="O105" s="176">
        <f t="shared" si="181"/>
        <v>5.4669975186104214</v>
      </c>
      <c r="P105" s="176">
        <f t="shared" si="110"/>
        <v>2.7334987593052107</v>
      </c>
      <c r="Q105" s="221">
        <f t="shared" si="111"/>
        <v>0.34168734491315134</v>
      </c>
      <c r="R105" s="221">
        <f t="shared" si="112"/>
        <v>0.34168734491315134</v>
      </c>
      <c r="S105" s="451">
        <f t="shared" si="113"/>
        <v>16</v>
      </c>
      <c r="T105" s="221">
        <f t="shared" si="114"/>
        <v>0.8779956427015253</v>
      </c>
      <c r="U105" s="221">
        <f t="shared" si="115"/>
        <v>0.82312091503267992</v>
      </c>
      <c r="V105" s="221">
        <f t="shared" si="116"/>
        <v>1.3449688154128758</v>
      </c>
      <c r="W105" s="201">
        <f t="shared" si="117"/>
        <v>350</v>
      </c>
      <c r="X105" s="451">
        <f t="shared" si="158"/>
        <v>350</v>
      </c>
      <c r="Z105" s="221">
        <f t="shared" si="118"/>
        <v>1.1570365118752215</v>
      </c>
      <c r="AA105" s="177">
        <f t="shared" si="119"/>
        <v>1.7724211272598367</v>
      </c>
      <c r="AB105" s="177">
        <f t="shared" si="175"/>
        <v>0.2871058342122137</v>
      </c>
      <c r="AC105" s="177"/>
      <c r="AD105" s="177">
        <f t="shared" si="121"/>
        <v>0.4595588235294118</v>
      </c>
      <c r="AE105" s="555">
        <f t="shared" si="176"/>
        <v>3626.6666666666674</v>
      </c>
      <c r="AF105" s="538">
        <f t="shared" si="123"/>
        <v>1.9301470588235291E-2</v>
      </c>
      <c r="AH105" s="177">
        <f t="shared" si="124"/>
        <v>0.95618288746751501</v>
      </c>
      <c r="AI105" s="177">
        <f t="shared" si="177"/>
        <v>0.95618288746751501</v>
      </c>
      <c r="AJ105" s="177">
        <f t="shared" si="178"/>
        <v>1.6860613981240853</v>
      </c>
      <c r="AL105" s="555">
        <f t="shared" si="127"/>
        <v>200</v>
      </c>
      <c r="AM105" s="469">
        <f t="shared" si="128"/>
        <v>350</v>
      </c>
      <c r="AO105">
        <f t="shared" si="159"/>
        <v>200</v>
      </c>
      <c r="AP105" s="3">
        <f t="shared" si="129"/>
        <v>350</v>
      </c>
      <c r="AR105" s="5">
        <f t="shared" si="160"/>
        <v>2.8571428571428572</v>
      </c>
      <c r="AS105" s="5">
        <f t="shared" si="130"/>
        <v>0.89642145700079534</v>
      </c>
      <c r="AT105" s="5">
        <f t="shared" si="161"/>
        <v>1.9607214001420619</v>
      </c>
      <c r="AU105" s="177">
        <f t="shared" si="162"/>
        <v>0.31374750995027834</v>
      </c>
      <c r="AW105" s="5">
        <f t="shared" si="131"/>
        <v>0.80504166666666677</v>
      </c>
      <c r="AX105" s="5">
        <f t="shared" si="132"/>
        <v>1.8880666666666668</v>
      </c>
      <c r="AY105" s="5">
        <f t="shared" si="133"/>
        <v>0.20126041666666669</v>
      </c>
      <c r="AZ105" s="5">
        <f t="shared" si="134"/>
        <v>1.6637121212121211</v>
      </c>
      <c r="BA105" s="5">
        <f t="shared" si="135"/>
        <v>0.20424181251479812</v>
      </c>
      <c r="BB105" s="469">
        <f t="shared" si="136"/>
        <v>33.178690002367702</v>
      </c>
      <c r="BC105" s="5"/>
      <c r="BD105" s="177">
        <f t="shared" si="163"/>
        <v>0.3092220702775782</v>
      </c>
      <c r="BE105" s="177">
        <f t="shared" si="137"/>
        <v>0.36585777871967962</v>
      </c>
      <c r="BF105" s="177">
        <f t="shared" si="138"/>
        <v>0.18292888935983981</v>
      </c>
      <c r="BG105" s="177"/>
      <c r="BH105" s="538">
        <f t="shared" si="139"/>
        <v>3.3466401061363026E-2</v>
      </c>
      <c r="BI105" s="538">
        <f t="shared" si="140"/>
        <v>8.6316541617467518E-2</v>
      </c>
      <c r="BJ105" s="538">
        <f t="shared" si="141"/>
        <v>4.3749999999999995E-3</v>
      </c>
      <c r="BK105" s="538">
        <f t="shared" si="142"/>
        <v>4.6565908480000008E-2</v>
      </c>
      <c r="BL105">
        <f t="shared" si="143"/>
        <v>9.2800000000000001E-3</v>
      </c>
      <c r="BM105">
        <f t="shared" si="144"/>
        <v>2.3625000000000002E-5</v>
      </c>
      <c r="BN105">
        <f t="shared" si="179"/>
        <v>0.18569200505685446</v>
      </c>
      <c r="BO105" s="469">
        <f t="shared" si="164"/>
        <v>185.69200505685447</v>
      </c>
      <c r="BP105" s="177">
        <f t="shared" si="146"/>
        <v>0.12753143124338467</v>
      </c>
      <c r="BQ105" s="177">
        <f t="shared" si="147"/>
        <v>5.0982857810846174E-2</v>
      </c>
      <c r="BR105" s="538"/>
      <c r="BT105" s="469">
        <f t="shared" si="165"/>
        <v>178.51428905423083</v>
      </c>
      <c r="BU105" s="538">
        <f t="shared" si="148"/>
        <v>9.5618288746751514E-3</v>
      </c>
      <c r="BV105" s="538">
        <f t="shared" si="149"/>
        <v>4.0155574274909414E-3</v>
      </c>
      <c r="BW105" s="538">
        <f t="shared" si="150"/>
        <v>1.6731489281212259E-3</v>
      </c>
      <c r="BX105" s="538">
        <f t="shared" si="151"/>
        <v>0</v>
      </c>
      <c r="BY105" s="538">
        <f t="shared" si="180"/>
        <v>1.7101463976230521E-2</v>
      </c>
      <c r="BZ105" s="538">
        <f t="shared" si="166"/>
        <v>1.525053523028732E-2</v>
      </c>
      <c r="CA105" s="641">
        <f t="shared" si="153"/>
        <v>1.6000000000000007E-2</v>
      </c>
      <c r="CB105" s="469">
        <f t="shared" si="167"/>
        <v>33.101463976230526</v>
      </c>
      <c r="CC105" s="177">
        <f t="shared" si="168"/>
        <v>0.39730775808731583</v>
      </c>
      <c r="CD105" s="5">
        <f t="shared" si="169"/>
        <v>4.8000000000000007</v>
      </c>
      <c r="CE105" s="177">
        <f t="shared" si="170"/>
        <v>0.92355508340465664</v>
      </c>
      <c r="CF105" s="5">
        <f t="shared" si="171"/>
        <v>92.355508340465661</v>
      </c>
      <c r="CG105">
        <f t="shared" si="172"/>
        <v>100</v>
      </c>
      <c r="CI105" s="571">
        <f t="shared" si="154"/>
        <v>-50</v>
      </c>
      <c r="CJ105">
        <f t="shared" si="155"/>
        <v>-50</v>
      </c>
    </row>
    <row r="106" spans="5:88" ht="13" x14ac:dyDescent="0.3">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5">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ht="13" x14ac:dyDescent="0.3">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3">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5">
      <c r="E110" s="174">
        <v>0.1</v>
      </c>
      <c r="F110" s="221">
        <v>1.0000000000000001E-9</v>
      </c>
      <c r="G110" s="221">
        <f t="shared" ref="G110:G141" si="183">IF(PLOT_TYPE=1, E110/100*Iout2, min_I*EXP(Q110*rr/100))</f>
        <v>1E-4</v>
      </c>
      <c r="H110" s="221">
        <f t="shared" ref="H110:H141" si="184">F110*Vout</f>
        <v>1.6000000000000001E-8</v>
      </c>
      <c r="I110" s="221">
        <f t="shared" ref="I110:I141" si="185">Vout2*G110</f>
        <v>1.6000000000000001E-3</v>
      </c>
      <c r="J110" s="551">
        <f t="shared" ref="J110:J173" si="186">VIN_min</f>
        <v>12</v>
      </c>
      <c r="K110" s="451">
        <f t="shared" ref="K110:K173" si="187">(S110+Vfwd1)*Nps</f>
        <v>19.584</v>
      </c>
      <c r="L110" s="451">
        <f t="shared" ref="L110:L173" si="188">(Vout+Vfwd1)*Nps+J110</f>
        <v>31.584</v>
      </c>
      <c r="M110" s="451"/>
      <c r="N110" s="221">
        <f t="shared" ref="N110:N173" si="189">(Vout+Vfwd1)*Nps/((Vout+Vfwd1)*Nps+J110)</f>
        <v>0.62006079027355621</v>
      </c>
      <c r="O110" s="176">
        <f t="shared" ref="O110:O141" si="190">N110*J110*Isw_max*0.5*Efficiency*Pout/(Pout+Pout2)</f>
        <v>3.3483282674772035</v>
      </c>
      <c r="P110" s="176">
        <f t="shared" ref="P110:P141" si="191">N110*J110*Isw_max*0.5*Efficiency*(Pout2/Pout_total)</f>
        <v>1.6741641337386017</v>
      </c>
      <c r="Q110" s="221">
        <f t="shared" ref="Q110:Q173" si="192">O110/Vout</f>
        <v>0.20927051671732522</v>
      </c>
      <c r="R110" s="221">
        <f t="shared" ref="R110:R141" si="193">O110/Vout2</f>
        <v>0.20927051671732522</v>
      </c>
      <c r="S110" s="221">
        <f t="shared" ref="S110:S141" si="194">MIN(Vout,O110/F110)</f>
        <v>16</v>
      </c>
      <c r="T110" s="221">
        <f t="shared" ref="T110:T141" si="195">MIN(2*(Vout*F110+Vout2*G110)/(Efficiency*J110*N110), Isw_max)</f>
        <v>4.7785517792302105E-4</v>
      </c>
      <c r="U110" s="221">
        <f t="shared" ref="U110:U173" si="196">L*T110/J110*1000000</f>
        <v>1.1946379448075526E-3</v>
      </c>
      <c r="V110" s="221">
        <f t="shared" ref="V110:V173" si="197">L*T110/K110*1000000</f>
        <v>7.3200854461247104E-4</v>
      </c>
      <c r="W110" s="201">
        <f t="shared" ref="W110:W173" si="198">IF(1/((350000*L)*(1/J110+1/K110))&gt;Isw_min, 350, 0.001/((Isw_min*L)*(1/J110+1/K110)))</f>
        <v>350</v>
      </c>
      <c r="X110" s="451">
        <f t="shared" ref="X110:X173" si="199">MIN(1/(U110+V110)*1000, 350)</f>
        <v>350</v>
      </c>
      <c r="Z110" s="221">
        <f t="shared" ref="Z110:Z173" si="200">1/((W110*1000*L)*(1/J110+1/K110))</f>
        <v>0.70864090316977857</v>
      </c>
      <c r="AA110" s="177">
        <f t="shared" ref="AA110:AA173" si="201">L*Z110/K110*1000000</f>
        <v>1.0855405992184108</v>
      </c>
      <c r="AB110" s="177">
        <f t="shared" ref="AB110:AB141" si="202">0.5*AA110*Z110*Nps*W110/1000*(Pout/(Pout+Pout2))</f>
        <v>0.1076961858920636</v>
      </c>
      <c r="AC110" s="177"/>
      <c r="AD110" s="177">
        <f t="shared" ref="AD110:AD173" si="203">L*Isw_min/K110*1000000</f>
        <v>0.4595588235294118</v>
      </c>
      <c r="AE110" s="555">
        <f t="shared" ref="AE110:AE141" si="204">MAX(10, F110/(0.5*AD110/1000000*Isw_min*Nps)/1000*Pout_total/Pout)</f>
        <v>10</v>
      </c>
      <c r="AF110" s="538">
        <f t="shared" ref="AF110:AF141" si="205">0.5*AD110/1000000*Isw_min*Nps*W110*1000*(Pout/Pout_total)</f>
        <v>1.9301470588235291E-2</v>
      </c>
      <c r="AH110" s="177">
        <f t="shared" ref="AH110:AH141" si="206">SQRT((H110+I110)/(0.5*L*Fsw_DCM))</f>
        <v>1.7457518505817268E-2</v>
      </c>
      <c r="AI110" s="177">
        <f t="shared" ref="AI110:AI141" si="207">MAX(IF(F110&gt;AB110,T110,AH110),Isw_min)</f>
        <v>0.3</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0.75</v>
      </c>
      <c r="AT110" s="5">
        <f t="shared" ref="AT110:AT114" si="214">AR110-AS110</f>
        <v>99.25</v>
      </c>
      <c r="AU110" s="177">
        <f t="shared" ref="AU110:AU114" si="215">AS110/AR110</f>
        <v>7.4999999999999997E-3</v>
      </c>
      <c r="AW110" s="5">
        <f t="shared" ref="AW110:AW169" si="216">F110*AS110/Vout_ripple*1000</f>
        <v>4.6875000000000006E-9</v>
      </c>
      <c r="AX110" s="5"/>
      <c r="AY110" s="5">
        <f t="shared" ref="AY110:AY169" si="217">G110*AS110/Vout_ripple2*1000</f>
        <v>4.6875000000000009E-4</v>
      </c>
      <c r="AZ110" s="5"/>
      <c r="BA110" s="5">
        <f t="shared" ref="BA110:BA169" si="218">H110/Efficiency/J110*AT110/Vinripple1</f>
        <v>9.1898148148148141E-8</v>
      </c>
      <c r="BB110" s="5"/>
      <c r="BC110" s="5"/>
      <c r="BD110" s="177">
        <f t="shared" ref="BD110:BD169" si="219">AI110*SQRT(AU110/3)</f>
        <v>1.4999999999999999E-2</v>
      </c>
      <c r="BE110" s="177">
        <f t="shared" ref="BE110:BE169" si="220">AI110*Npri_sec1*SQRT((1-AU110)/3)*(Pout/Pout_total)</f>
        <v>0.13804347141389917</v>
      </c>
      <c r="BF110" s="177">
        <f t="shared" ref="BF110:BF169" si="221">AI110*Npri_sec2*SQRT((1-AU110)/3)*(Pout2/Pout_total)</f>
        <v>6.9021735706949583E-2</v>
      </c>
      <c r="BG110" s="177"/>
      <c r="BH110" s="538">
        <f t="shared" ref="BH110:BH169" si="222">Rdson*BD110^2</f>
        <v>7.874999999999999E-5</v>
      </c>
      <c r="BI110" s="538">
        <f t="shared" ref="BI110:BI169" si="223">0.5*L110*AI110*AM110*1000*Trise</f>
        <v>4.7375999999999999E-4</v>
      </c>
      <c r="BJ110" s="538">
        <f t="shared" ref="BJ110:BJ169" si="224">Qg*Vdd*AM110*1000</f>
        <v>1.25E-4</v>
      </c>
      <c r="BK110" s="538">
        <f t="shared" ref="BK110:BK169" si="225">0.5*(Coss+Csw)*L110^2*AM110*1000</f>
        <v>4.9877452800000006E-4</v>
      </c>
      <c r="BL110">
        <f t="shared" ref="BL110:BL169" si="226">J110*IQ</f>
        <v>3.48E-3</v>
      </c>
      <c r="BM110">
        <f t="shared" ref="BM110:BM141" si="227">(J110-Vdd)*Qg*AM110</f>
        <v>1.7500000000000002E-7</v>
      </c>
      <c r="BN110">
        <f t="shared" ref="BN110:BN141" si="228">(BI110+BJ110+BK110+BL110+BM110+BH110*(1+RdsonTC*(Ta-25)))/(1-BH110*RdsonTC*ThetaJA)</f>
        <v>4.6671585888973226E-3</v>
      </c>
      <c r="BO110" s="469">
        <f t="shared" ref="BO110:BO169" si="229">SUM(BH110:BL110)*1000</f>
        <v>4.6562845279999996</v>
      </c>
      <c r="BP110" s="177">
        <f t="shared" ref="BP110:BP169" si="230">Vfwd2*F110</f>
        <v>4.0000000000000007E-10</v>
      </c>
      <c r="BQ110" s="177">
        <f t="shared" ref="BQ110:BQ169" si="231">Vfwd2*G110</f>
        <v>4.0000000000000003E-5</v>
      </c>
      <c r="BR110" s="538"/>
      <c r="BT110" s="469">
        <f t="shared" ref="BT110:BT169" si="232">SUM(BP110:BS110)*1000</f>
        <v>4.0000400000000005E-2</v>
      </c>
      <c r="BU110" s="538">
        <f t="shared" ref="BU110:BU169" si="233">Rdcr_pri*BD110^2</f>
        <v>2.2500000000000001E-5</v>
      </c>
      <c r="BV110" s="538">
        <f t="shared" ref="BV110:BV169" si="234">Rdcr_sec*BE110^2</f>
        <v>5.7167999999999987E-4</v>
      </c>
      <c r="BW110" s="538">
        <f t="shared" ref="BW110:BW169" si="235">Rdcr_sec2*BF110^2</f>
        <v>2.3819999999999996E-4</v>
      </c>
      <c r="BX110" s="538">
        <f t="shared" ref="BX110:BX169" si="236">AI110^2.5*AM110^2.5*k_core</f>
        <v>0</v>
      </c>
      <c r="BY110" s="538">
        <f t="shared" si="180"/>
        <v>9.3232768407341331E-4</v>
      </c>
      <c r="BZ110" s="538">
        <f t="shared" si="166"/>
        <v>8.3237999999999975E-4</v>
      </c>
      <c r="CA110" s="641">
        <f t="shared" ref="CA110:CA141" si="237">0.5*Lleak*0.000000001*AI110^2*AM110*1000</f>
        <v>4.5000000000000003E-5</v>
      </c>
      <c r="CB110" s="469">
        <f t="shared" ref="CB110:CB169" si="238">SUM(BU110:CA110)*1000</f>
        <v>2.6420876840734131</v>
      </c>
      <c r="CC110" s="177">
        <f t="shared" si="168"/>
        <v>5.6844866729707363E-3</v>
      </c>
      <c r="CD110" s="5">
        <f t="shared" ref="CD110:CD169" si="239">MIN(H110+I110,O110+P110)</f>
        <v>1.6000160000000001E-3</v>
      </c>
      <c r="CE110" s="177">
        <f t="shared" ref="CE110:CE169" si="240">CD110/(CD110+CC110)</f>
        <v>0.21964656639318494</v>
      </c>
      <c r="CF110" s="5">
        <f t="shared" ref="CF110:CF169" si="241">CE110*100</f>
        <v>21.964656639318495</v>
      </c>
      <c r="CG110">
        <f t="shared" ref="CG110:CG169" si="242">F110/Iout*100</f>
        <v>4.9999999999999998E-7</v>
      </c>
      <c r="CI110" s="571">
        <f t="shared" ref="CI110:CI141" si="243">IF(ABS(F110-Ioutmax_Vinmin)&lt;Iout/200, AM110, -50)</f>
        <v>-50</v>
      </c>
      <c r="CJ110">
        <f t="shared" ref="CJ110:CJ141" si="244">IF(ABS(F110-Ioutmax_Vinmin)&lt;Iout/200, (O110+P110)*CE110, -50)</f>
        <v>-50</v>
      </c>
    </row>
    <row r="111" spans="5:88" x14ac:dyDescent="0.25">
      <c r="E111" s="174">
        <v>1</v>
      </c>
      <c r="F111" s="221">
        <f t="shared" ref="F111:F142" si="245">IF(PLOT_TYPE=1, E111/100*Iout_max, min_I*EXP(O111*rr/100))</f>
        <v>2E-3</v>
      </c>
      <c r="G111" s="221">
        <f t="shared" si="183"/>
        <v>1E-3</v>
      </c>
      <c r="H111" s="221">
        <f t="shared" si="184"/>
        <v>3.2000000000000001E-2</v>
      </c>
      <c r="I111" s="221">
        <f t="shared" si="185"/>
        <v>1.6E-2</v>
      </c>
      <c r="J111" s="551">
        <f t="shared" si="186"/>
        <v>12</v>
      </c>
      <c r="K111" s="451">
        <f t="shared" si="187"/>
        <v>19.584</v>
      </c>
      <c r="L111" s="451">
        <f t="shared" si="188"/>
        <v>31.584</v>
      </c>
      <c r="M111" s="451"/>
      <c r="N111" s="221">
        <f t="shared" si="189"/>
        <v>0.62006079027355621</v>
      </c>
      <c r="O111" s="176">
        <f t="shared" si="190"/>
        <v>3.3483282674772035</v>
      </c>
      <c r="P111" s="176">
        <f t="shared" si="191"/>
        <v>1.6741641337386017</v>
      </c>
      <c r="Q111" s="221">
        <f t="shared" si="192"/>
        <v>0.20927051671732522</v>
      </c>
      <c r="R111" s="221">
        <f t="shared" si="193"/>
        <v>0.20927051671732522</v>
      </c>
      <c r="S111" s="221">
        <f t="shared" si="194"/>
        <v>16</v>
      </c>
      <c r="T111" s="221">
        <f t="shared" si="195"/>
        <v>1.4335511982570805E-2</v>
      </c>
      <c r="U111" s="221">
        <f t="shared" si="196"/>
        <v>3.5838779956427015E-2</v>
      </c>
      <c r="V111" s="221">
        <f t="shared" si="197"/>
        <v>2.1960036738006748E-2</v>
      </c>
      <c r="W111" s="201">
        <f t="shared" si="198"/>
        <v>350</v>
      </c>
      <c r="X111" s="451">
        <f t="shared" si="199"/>
        <v>350</v>
      </c>
      <c r="Z111" s="221">
        <f t="shared" si="200"/>
        <v>0.70864090316977857</v>
      </c>
      <c r="AA111" s="177">
        <f t="shared" si="201"/>
        <v>1.0855405992184108</v>
      </c>
      <c r="AB111" s="177">
        <f t="shared" si="202"/>
        <v>0.1076961858920636</v>
      </c>
      <c r="AC111" s="177"/>
      <c r="AD111" s="177">
        <f t="shared" si="203"/>
        <v>0.4595588235294118</v>
      </c>
      <c r="AE111" s="555">
        <f t="shared" si="204"/>
        <v>36.266666666666673</v>
      </c>
      <c r="AF111" s="538">
        <f t="shared" si="205"/>
        <v>1.9301470588235291E-2</v>
      </c>
      <c r="AH111" s="177">
        <f t="shared" si="206"/>
        <v>9.561828874675149E-2</v>
      </c>
      <c r="AI111" s="177">
        <f t="shared" si="207"/>
        <v>0.3</v>
      </c>
      <c r="AJ111" s="177">
        <f t="shared" si="208"/>
        <v>1.0207238095238096</v>
      </c>
      <c r="AL111" s="555">
        <f t="shared" si="209"/>
        <v>2</v>
      </c>
      <c r="AM111" s="469">
        <f t="shared" si="210"/>
        <v>36.266666666666673</v>
      </c>
      <c r="AO111" s="469">
        <f t="shared" si="211"/>
        <v>2</v>
      </c>
      <c r="AP111" s="469">
        <f t="shared" si="212"/>
        <v>36.266666666666673</v>
      </c>
      <c r="AR111" s="5">
        <f t="shared" si="160"/>
        <v>27.573529411764703</v>
      </c>
      <c r="AS111" s="5">
        <f t="shared" si="213"/>
        <v>0.75</v>
      </c>
      <c r="AT111" s="5">
        <f t="shared" si="214"/>
        <v>26.823529411764703</v>
      </c>
      <c r="AU111" s="177">
        <f t="shared" si="215"/>
        <v>2.7200000000000002E-2</v>
      </c>
      <c r="AW111" s="5">
        <f t="shared" si="216"/>
        <v>9.3750000000000014E-3</v>
      </c>
      <c r="AX111" s="5"/>
      <c r="AY111" s="5">
        <f t="shared" si="217"/>
        <v>4.6875000000000007E-3</v>
      </c>
      <c r="AZ111" s="5"/>
      <c r="BA111" s="5">
        <f t="shared" si="218"/>
        <v>4.9673202614379075E-2</v>
      </c>
      <c r="BB111" s="5"/>
      <c r="BC111" s="5"/>
      <c r="BD111" s="177">
        <f t="shared" si="219"/>
        <v>2.8565713714171402E-2</v>
      </c>
      <c r="BE111" s="177">
        <f t="shared" si="220"/>
        <v>0.13666660162600075</v>
      </c>
      <c r="BF111" s="177">
        <f t="shared" si="221"/>
        <v>6.8333300813000375E-2</v>
      </c>
      <c r="BG111" s="177"/>
      <c r="BH111" s="538">
        <f t="shared" si="222"/>
        <v>2.856E-4</v>
      </c>
      <c r="BI111" s="538">
        <f t="shared" si="223"/>
        <v>1.7181696000000003E-3</v>
      </c>
      <c r="BJ111" s="538">
        <f t="shared" si="224"/>
        <v>4.5333333333333337E-4</v>
      </c>
      <c r="BK111" s="538">
        <f t="shared" si="225"/>
        <v>1.8088889548800004E-3</v>
      </c>
      <c r="BL111">
        <f t="shared" si="226"/>
        <v>3.48E-3</v>
      </c>
      <c r="BM111">
        <f t="shared" si="227"/>
        <v>6.3466666666666684E-7</v>
      </c>
      <c r="BN111">
        <f t="shared" si="228"/>
        <v>7.785592802678671E-3</v>
      </c>
      <c r="BO111" s="469">
        <f t="shared" si="229"/>
        <v>7.7459918882133332</v>
      </c>
      <c r="BP111" s="177">
        <f t="shared" si="230"/>
        <v>8.0000000000000004E-4</v>
      </c>
      <c r="BQ111" s="177">
        <f t="shared" si="231"/>
        <v>4.0000000000000002E-4</v>
      </c>
      <c r="BR111" s="538"/>
      <c r="BT111" s="469">
        <f t="shared" si="232"/>
        <v>1.2000000000000002</v>
      </c>
      <c r="BU111" s="538">
        <f t="shared" si="233"/>
        <v>8.1600000000000018E-5</v>
      </c>
      <c r="BV111" s="538">
        <f t="shared" si="234"/>
        <v>5.603327999999997E-4</v>
      </c>
      <c r="BW111" s="538">
        <f t="shared" si="235"/>
        <v>2.334719999999999E-4</v>
      </c>
      <c r="BX111" s="538">
        <f t="shared" si="236"/>
        <v>0</v>
      </c>
      <c r="BY111" s="538">
        <f t="shared" si="180"/>
        <v>9.8052204429632632E-4</v>
      </c>
      <c r="BZ111" s="538">
        <f t="shared" si="166"/>
        <v>8.754047999999996E-4</v>
      </c>
      <c r="CA111" s="641">
        <f t="shared" si="237"/>
        <v>1.6320000000000006E-4</v>
      </c>
      <c r="CB111" s="469">
        <f t="shared" si="238"/>
        <v>2.8945316442963258</v>
      </c>
      <c r="CC111" s="177">
        <f t="shared" si="168"/>
        <v>1.0129314846974997E-2</v>
      </c>
      <c r="CD111" s="5">
        <f t="shared" si="239"/>
        <v>4.8000000000000001E-2</v>
      </c>
      <c r="CE111" s="177">
        <f t="shared" si="240"/>
        <v>0.82574515330792486</v>
      </c>
      <c r="CF111" s="5">
        <f t="shared" si="241"/>
        <v>82.57451533079248</v>
      </c>
      <c r="CG111">
        <f t="shared" si="242"/>
        <v>1</v>
      </c>
      <c r="CI111" s="571">
        <f t="shared" si="243"/>
        <v>-50</v>
      </c>
      <c r="CJ111">
        <f t="shared" si="244"/>
        <v>-50</v>
      </c>
    </row>
    <row r="112" spans="5:88" x14ac:dyDescent="0.25">
      <c r="E112" s="174">
        <v>2</v>
      </c>
      <c r="F112" s="221">
        <f t="shared" si="245"/>
        <v>4.0000000000000001E-3</v>
      </c>
      <c r="G112" s="221">
        <f t="shared" si="183"/>
        <v>2E-3</v>
      </c>
      <c r="H112" s="221">
        <f t="shared" si="184"/>
        <v>6.4000000000000001E-2</v>
      </c>
      <c r="I112" s="221">
        <f t="shared" si="185"/>
        <v>3.2000000000000001E-2</v>
      </c>
      <c r="J112" s="551">
        <f t="shared" si="186"/>
        <v>12</v>
      </c>
      <c r="K112" s="451">
        <f t="shared" si="187"/>
        <v>19.584</v>
      </c>
      <c r="L112" s="451">
        <f t="shared" si="188"/>
        <v>31.584</v>
      </c>
      <c r="M112" s="451"/>
      <c r="N112" s="221">
        <f t="shared" si="189"/>
        <v>0.62006079027355621</v>
      </c>
      <c r="O112" s="176">
        <f t="shared" si="190"/>
        <v>3.3483282674772035</v>
      </c>
      <c r="P112" s="176">
        <f t="shared" si="191"/>
        <v>1.6741641337386017</v>
      </c>
      <c r="Q112" s="221">
        <f t="shared" si="192"/>
        <v>0.20927051671732522</v>
      </c>
      <c r="R112" s="221">
        <f t="shared" si="193"/>
        <v>0.20927051671732522</v>
      </c>
      <c r="S112" s="221">
        <f t="shared" si="194"/>
        <v>16</v>
      </c>
      <c r="T112" s="221">
        <f t="shared" si="195"/>
        <v>2.8671023965141609E-2</v>
      </c>
      <c r="U112" s="221">
        <f t="shared" si="196"/>
        <v>7.167755991285403E-2</v>
      </c>
      <c r="V112" s="221">
        <f t="shared" si="197"/>
        <v>4.3920073476013496E-2</v>
      </c>
      <c r="W112" s="201">
        <f t="shared" si="198"/>
        <v>350</v>
      </c>
      <c r="X112" s="451">
        <f t="shared" si="199"/>
        <v>350</v>
      </c>
      <c r="Z112" s="221">
        <f t="shared" si="200"/>
        <v>0.70864090316977857</v>
      </c>
      <c r="AA112" s="177">
        <f t="shared" si="201"/>
        <v>1.0855405992184108</v>
      </c>
      <c r="AB112" s="177">
        <f t="shared" si="202"/>
        <v>0.1076961858920636</v>
      </c>
      <c r="AC112" s="177"/>
      <c r="AD112" s="177">
        <f t="shared" si="203"/>
        <v>0.4595588235294118</v>
      </c>
      <c r="AE112" s="555">
        <f t="shared" si="204"/>
        <v>72.533333333333346</v>
      </c>
      <c r="AF112" s="538">
        <f t="shared" si="205"/>
        <v>1.9301470588235291E-2</v>
      </c>
      <c r="AH112" s="177">
        <f t="shared" si="206"/>
        <v>0.13522468075656266</v>
      </c>
      <c r="AI112" s="177">
        <f t="shared" si="207"/>
        <v>0.3</v>
      </c>
      <c r="AJ112" s="177">
        <f t="shared" si="208"/>
        <v>1.041447619047619</v>
      </c>
      <c r="AL112" s="555">
        <f t="shared" si="209"/>
        <v>4</v>
      </c>
      <c r="AM112" s="469">
        <f t="shared" si="210"/>
        <v>72.533333333333346</v>
      </c>
      <c r="AO112" s="469">
        <f t="shared" si="211"/>
        <v>4</v>
      </c>
      <c r="AP112" s="469">
        <f t="shared" si="212"/>
        <v>72.533333333333346</v>
      </c>
      <c r="AR112" s="5">
        <f t="shared" si="160"/>
        <v>13.786764705882351</v>
      </c>
      <c r="AS112" s="5">
        <f t="shared" si="213"/>
        <v>0.75</v>
      </c>
      <c r="AT112" s="5">
        <f t="shared" si="214"/>
        <v>13.036764705882351</v>
      </c>
      <c r="AU112" s="177">
        <f t="shared" si="215"/>
        <v>5.4400000000000004E-2</v>
      </c>
      <c r="AW112" s="5">
        <f t="shared" si="216"/>
        <v>1.8750000000000003E-2</v>
      </c>
      <c r="AX112" s="5"/>
      <c r="AY112" s="5">
        <f t="shared" si="217"/>
        <v>9.3750000000000014E-3</v>
      </c>
      <c r="AZ112" s="5"/>
      <c r="BA112" s="5">
        <f t="shared" si="218"/>
        <v>4.8284313725490184E-2</v>
      </c>
      <c r="BB112" s="5"/>
      <c r="BC112" s="5"/>
      <c r="BD112" s="177">
        <f t="shared" si="219"/>
        <v>4.0398019753448311E-2</v>
      </c>
      <c r="BE112" s="177">
        <f t="shared" si="220"/>
        <v>0.1347424209371347</v>
      </c>
      <c r="BF112" s="177">
        <f t="shared" si="221"/>
        <v>6.7371210468567352E-2</v>
      </c>
      <c r="BG112" s="177"/>
      <c r="BH112" s="538">
        <f t="shared" si="222"/>
        <v>5.7120000000000001E-4</v>
      </c>
      <c r="BI112" s="538">
        <f t="shared" si="223"/>
        <v>3.4363392000000006E-3</v>
      </c>
      <c r="BJ112" s="538">
        <f t="shared" si="224"/>
        <v>9.0666666666666673E-4</v>
      </c>
      <c r="BK112" s="538">
        <f t="shared" si="225"/>
        <v>3.6177779097600008E-3</v>
      </c>
      <c r="BL112">
        <f t="shared" si="226"/>
        <v>3.48E-3</v>
      </c>
      <c r="BM112">
        <f t="shared" si="227"/>
        <v>1.2693333333333337E-6</v>
      </c>
      <c r="BN112">
        <f t="shared" si="228"/>
        <v>1.2091639404106898E-2</v>
      </c>
      <c r="BO112" s="469">
        <f t="shared" si="229"/>
        <v>12.011983776426668</v>
      </c>
      <c r="BP112" s="177">
        <f t="shared" si="230"/>
        <v>1.6000000000000001E-3</v>
      </c>
      <c r="BQ112" s="177">
        <f t="shared" si="231"/>
        <v>8.0000000000000004E-4</v>
      </c>
      <c r="BR112" s="538"/>
      <c r="BT112" s="469">
        <f t="shared" si="232"/>
        <v>2.4000000000000004</v>
      </c>
      <c r="BU112" s="538">
        <f t="shared" si="233"/>
        <v>1.6320000000000001E-4</v>
      </c>
      <c r="BV112" s="538">
        <f t="shared" si="234"/>
        <v>5.4466559999999994E-4</v>
      </c>
      <c r="BW112" s="538">
        <f t="shared" si="235"/>
        <v>2.2694399999999997E-4</v>
      </c>
      <c r="BX112" s="538">
        <f t="shared" si="236"/>
        <v>0</v>
      </c>
      <c r="BY112" s="538">
        <f t="shared" si="180"/>
        <v>1.0470650565173325E-3</v>
      </c>
      <c r="BZ112" s="538">
        <f t="shared" si="166"/>
        <v>9.3480959999999997E-4</v>
      </c>
      <c r="CA112" s="641">
        <f t="shared" si="237"/>
        <v>3.2640000000000013E-4</v>
      </c>
      <c r="CB112" s="469">
        <f t="shared" si="238"/>
        <v>3.2430842565173328</v>
      </c>
      <c r="CC112" s="177">
        <f t="shared" si="168"/>
        <v>1.5865104460624231E-2</v>
      </c>
      <c r="CD112" s="5">
        <f t="shared" si="239"/>
        <v>9.6000000000000002E-2</v>
      </c>
      <c r="CE112" s="177">
        <f t="shared" si="240"/>
        <v>0.85817646586824015</v>
      </c>
      <c r="CF112" s="5">
        <f t="shared" si="241"/>
        <v>85.817646586824011</v>
      </c>
      <c r="CG112">
        <f t="shared" si="242"/>
        <v>2</v>
      </c>
      <c r="CI112" s="571">
        <f t="shared" si="243"/>
        <v>-50</v>
      </c>
      <c r="CJ112">
        <f t="shared" si="244"/>
        <v>-50</v>
      </c>
    </row>
    <row r="113" spans="5:88" x14ac:dyDescent="0.25">
      <c r="E113" s="174">
        <v>3</v>
      </c>
      <c r="F113" s="221">
        <f t="shared" si="245"/>
        <v>6.0000000000000001E-3</v>
      </c>
      <c r="G113" s="221">
        <f t="shared" si="183"/>
        <v>3.0000000000000001E-3</v>
      </c>
      <c r="H113" s="221">
        <f t="shared" si="184"/>
        <v>9.6000000000000002E-2</v>
      </c>
      <c r="I113" s="221">
        <f t="shared" si="185"/>
        <v>4.8000000000000001E-2</v>
      </c>
      <c r="J113" s="551">
        <f t="shared" si="186"/>
        <v>12</v>
      </c>
      <c r="K113" s="451">
        <f t="shared" si="187"/>
        <v>19.584</v>
      </c>
      <c r="L113" s="451">
        <f t="shared" si="188"/>
        <v>31.584</v>
      </c>
      <c r="M113" s="451"/>
      <c r="N113" s="221">
        <f t="shared" si="189"/>
        <v>0.62006079027355621</v>
      </c>
      <c r="O113" s="176">
        <f t="shared" si="190"/>
        <v>3.3483282674772035</v>
      </c>
      <c r="P113" s="176">
        <f t="shared" si="191"/>
        <v>1.6741641337386017</v>
      </c>
      <c r="Q113" s="221">
        <f t="shared" si="192"/>
        <v>0.20927051671732522</v>
      </c>
      <c r="R113" s="221">
        <f t="shared" si="193"/>
        <v>0.20927051671732522</v>
      </c>
      <c r="S113" s="221">
        <f t="shared" si="194"/>
        <v>16</v>
      </c>
      <c r="T113" s="221">
        <f t="shared" si="195"/>
        <v>4.3006535947712421E-2</v>
      </c>
      <c r="U113" s="221">
        <f t="shared" si="196"/>
        <v>0.10751633986928105</v>
      </c>
      <c r="V113" s="221">
        <f t="shared" si="197"/>
        <v>6.5880110214020252E-2</v>
      </c>
      <c r="W113" s="201">
        <f t="shared" si="198"/>
        <v>350</v>
      </c>
      <c r="X113" s="451">
        <f t="shared" si="199"/>
        <v>350</v>
      </c>
      <c r="Z113" s="221">
        <f t="shared" si="200"/>
        <v>0.70864090316977857</v>
      </c>
      <c r="AA113" s="177">
        <f t="shared" si="201"/>
        <v>1.0855405992184108</v>
      </c>
      <c r="AB113" s="177">
        <f t="shared" si="202"/>
        <v>0.1076961858920636</v>
      </c>
      <c r="AC113" s="177"/>
      <c r="AD113" s="177">
        <f t="shared" si="203"/>
        <v>0.4595588235294118</v>
      </c>
      <c r="AE113" s="555">
        <f t="shared" si="204"/>
        <v>108.80000000000004</v>
      </c>
      <c r="AF113" s="538">
        <f t="shared" si="205"/>
        <v>1.9301470588235291E-2</v>
      </c>
      <c r="AH113" s="177">
        <f t="shared" si="206"/>
        <v>0.16561573424216502</v>
      </c>
      <c r="AI113" s="177">
        <f t="shared" si="207"/>
        <v>0.3</v>
      </c>
      <c r="AJ113" s="177">
        <f t="shared" si="208"/>
        <v>1.0621714285714285</v>
      </c>
      <c r="AL113" s="555">
        <f t="shared" si="209"/>
        <v>6</v>
      </c>
      <c r="AM113" s="469">
        <f t="shared" si="210"/>
        <v>108.80000000000004</v>
      </c>
      <c r="AO113" s="469">
        <f t="shared" si="211"/>
        <v>6</v>
      </c>
      <c r="AP113" s="469">
        <f t="shared" si="212"/>
        <v>108.80000000000004</v>
      </c>
      <c r="AR113" s="5">
        <f t="shared" si="160"/>
        <v>9.191176470588232</v>
      </c>
      <c r="AS113" s="5">
        <f t="shared" si="213"/>
        <v>0.75</v>
      </c>
      <c r="AT113" s="5">
        <f t="shared" si="214"/>
        <v>8.441176470588232</v>
      </c>
      <c r="AU113" s="177">
        <f t="shared" si="215"/>
        <v>8.1600000000000034E-2</v>
      </c>
      <c r="AW113" s="5">
        <f t="shared" si="216"/>
        <v>2.8125000000000004E-2</v>
      </c>
      <c r="AX113" s="5"/>
      <c r="AY113" s="5">
        <f t="shared" si="217"/>
        <v>1.4062500000000002E-2</v>
      </c>
      <c r="AZ113" s="5"/>
      <c r="BA113" s="5">
        <f t="shared" si="218"/>
        <v>4.6895424836601286E-2</v>
      </c>
      <c r="BB113" s="5"/>
      <c r="BC113" s="5"/>
      <c r="BD113" s="177">
        <f t="shared" si="219"/>
        <v>4.9477267507411937E-2</v>
      </c>
      <c r="BE113" s="177">
        <f t="shared" si="220"/>
        <v>0.13279036109597714</v>
      </c>
      <c r="BF113" s="177">
        <f t="shared" si="221"/>
        <v>6.6395180547988569E-2</v>
      </c>
      <c r="BG113" s="177"/>
      <c r="BH113" s="538">
        <f t="shared" si="222"/>
        <v>8.5680000000000023E-4</v>
      </c>
      <c r="BI113" s="538">
        <f t="shared" si="223"/>
        <v>5.1545088000000015E-3</v>
      </c>
      <c r="BJ113" s="538">
        <f t="shared" si="224"/>
        <v>1.3600000000000005E-3</v>
      </c>
      <c r="BK113" s="538">
        <f t="shared" si="225"/>
        <v>5.4266668646400021E-3</v>
      </c>
      <c r="BL113">
        <f t="shared" si="226"/>
        <v>3.48E-3</v>
      </c>
      <c r="BM113">
        <f t="shared" si="227"/>
        <v>1.9040000000000007E-6</v>
      </c>
      <c r="BN113">
        <f t="shared" si="228"/>
        <v>1.6398139876032353E-2</v>
      </c>
      <c r="BO113" s="469">
        <f t="shared" si="229"/>
        <v>16.277975664640003</v>
      </c>
      <c r="BP113" s="177">
        <f t="shared" si="230"/>
        <v>2.4000000000000002E-3</v>
      </c>
      <c r="BQ113" s="177">
        <f t="shared" si="231"/>
        <v>1.2000000000000001E-3</v>
      </c>
      <c r="BR113" s="538"/>
      <c r="BT113" s="469">
        <f t="shared" si="232"/>
        <v>3.6000000000000005</v>
      </c>
      <c r="BU113" s="538">
        <f t="shared" si="233"/>
        <v>2.448000000000001E-4</v>
      </c>
      <c r="BV113" s="538">
        <f t="shared" si="234"/>
        <v>5.2899839999999995E-4</v>
      </c>
      <c r="BW113" s="538">
        <f t="shared" si="235"/>
        <v>2.2041599999999997E-4</v>
      </c>
      <c r="BX113" s="538">
        <f t="shared" si="236"/>
        <v>0</v>
      </c>
      <c r="BY113" s="538">
        <f t="shared" si="180"/>
        <v>1.1136087012645409E-3</v>
      </c>
      <c r="BZ113" s="538">
        <f t="shared" si="166"/>
        <v>9.9421439999999991E-4</v>
      </c>
      <c r="CA113" s="641">
        <f t="shared" si="237"/>
        <v>4.896000000000003E-4</v>
      </c>
      <c r="CB113" s="469">
        <f t="shared" si="238"/>
        <v>3.591637501264541</v>
      </c>
      <c r="CC113" s="177">
        <f t="shared" si="168"/>
        <v>2.1601348577296894E-2</v>
      </c>
      <c r="CD113" s="5">
        <f t="shared" si="239"/>
        <v>0.14400000000000002</v>
      </c>
      <c r="CE113" s="177">
        <f t="shared" si="240"/>
        <v>0.86955813607270149</v>
      </c>
      <c r="CF113" s="5">
        <f t="shared" si="241"/>
        <v>86.955813607270144</v>
      </c>
      <c r="CG113">
        <f t="shared" si="242"/>
        <v>3</v>
      </c>
      <c r="CI113" s="571">
        <f t="shared" si="243"/>
        <v>-50</v>
      </c>
      <c r="CJ113">
        <f t="shared" si="244"/>
        <v>-50</v>
      </c>
    </row>
    <row r="114" spans="5:88" x14ac:dyDescent="0.25">
      <c r="E114" s="174">
        <v>4</v>
      </c>
      <c r="F114" s="221">
        <f t="shared" si="245"/>
        <v>8.0000000000000002E-3</v>
      </c>
      <c r="G114" s="221">
        <f t="shared" si="183"/>
        <v>4.0000000000000001E-3</v>
      </c>
      <c r="H114" s="221">
        <f t="shared" si="184"/>
        <v>0.128</v>
      </c>
      <c r="I114" s="221">
        <f t="shared" si="185"/>
        <v>6.4000000000000001E-2</v>
      </c>
      <c r="J114" s="551">
        <f t="shared" si="186"/>
        <v>12</v>
      </c>
      <c r="K114" s="451">
        <f t="shared" si="187"/>
        <v>19.584</v>
      </c>
      <c r="L114" s="451">
        <f t="shared" si="188"/>
        <v>31.584</v>
      </c>
      <c r="M114" s="451"/>
      <c r="N114" s="221">
        <f t="shared" si="189"/>
        <v>0.62006079027355621</v>
      </c>
      <c r="O114" s="176">
        <f t="shared" si="190"/>
        <v>3.3483282674772035</v>
      </c>
      <c r="P114" s="176">
        <f t="shared" si="191"/>
        <v>1.6741641337386017</v>
      </c>
      <c r="Q114" s="221">
        <f t="shared" si="192"/>
        <v>0.20927051671732522</v>
      </c>
      <c r="R114" s="221">
        <f t="shared" si="193"/>
        <v>0.20927051671732522</v>
      </c>
      <c r="S114" s="221">
        <f t="shared" si="194"/>
        <v>16</v>
      </c>
      <c r="T114" s="221">
        <f t="shared" si="195"/>
        <v>5.7342047930283219E-2</v>
      </c>
      <c r="U114" s="221">
        <f t="shared" si="196"/>
        <v>0.14335511982570806</v>
      </c>
      <c r="V114" s="221">
        <f t="shared" si="197"/>
        <v>8.7840146952026993E-2</v>
      </c>
      <c r="W114" s="201">
        <f t="shared" si="198"/>
        <v>350</v>
      </c>
      <c r="X114" s="451">
        <f t="shared" si="199"/>
        <v>350</v>
      </c>
      <c r="Z114" s="221">
        <f t="shared" si="200"/>
        <v>0.70864090316977857</v>
      </c>
      <c r="AA114" s="177">
        <f t="shared" si="201"/>
        <v>1.0855405992184108</v>
      </c>
      <c r="AB114" s="177">
        <f t="shared" si="202"/>
        <v>0.1076961858920636</v>
      </c>
      <c r="AC114" s="177"/>
      <c r="AD114" s="177">
        <f t="shared" si="203"/>
        <v>0.4595588235294118</v>
      </c>
      <c r="AE114" s="555">
        <f t="shared" si="204"/>
        <v>145.06666666666669</v>
      </c>
      <c r="AF114" s="538">
        <f t="shared" si="205"/>
        <v>1.9301470588235291E-2</v>
      </c>
      <c r="AH114" s="177">
        <f t="shared" si="206"/>
        <v>0.19123657749350298</v>
      </c>
      <c r="AI114" s="177">
        <f t="shared" si="207"/>
        <v>0.3</v>
      </c>
      <c r="AJ114" s="177">
        <f t="shared" si="208"/>
        <v>1.0828952380952381</v>
      </c>
      <c r="AL114" s="555">
        <f t="shared" si="209"/>
        <v>8</v>
      </c>
      <c r="AM114" s="469">
        <f t="shared" si="210"/>
        <v>145.06666666666669</v>
      </c>
      <c r="AO114" s="469">
        <f t="shared" si="211"/>
        <v>8</v>
      </c>
      <c r="AP114" s="469">
        <f t="shared" si="212"/>
        <v>145.06666666666669</v>
      </c>
      <c r="AR114" s="5">
        <f t="shared" si="160"/>
        <v>6.8933823529411757</v>
      </c>
      <c r="AS114" s="5">
        <f t="shared" si="213"/>
        <v>0.75</v>
      </c>
      <c r="AT114" s="5">
        <f t="shared" si="214"/>
        <v>6.1433823529411757</v>
      </c>
      <c r="AU114" s="177">
        <f t="shared" si="215"/>
        <v>0.10880000000000001</v>
      </c>
      <c r="AW114" s="5">
        <f t="shared" si="216"/>
        <v>3.7500000000000006E-2</v>
      </c>
      <c r="AX114" s="5"/>
      <c r="AY114" s="5">
        <f t="shared" si="217"/>
        <v>1.8750000000000003E-2</v>
      </c>
      <c r="AZ114" s="5"/>
      <c r="BA114" s="5">
        <f t="shared" si="218"/>
        <v>4.5506535947712409E-2</v>
      </c>
      <c r="BB114" s="5"/>
      <c r="BC114" s="5"/>
      <c r="BD114" s="177">
        <f t="shared" si="219"/>
        <v>5.7131427428342804E-2</v>
      </c>
      <c r="BE114" s="177">
        <f t="shared" si="220"/>
        <v>0.13080917399020603</v>
      </c>
      <c r="BF114" s="177">
        <f t="shared" si="221"/>
        <v>6.5404586995103015E-2</v>
      </c>
      <c r="BG114" s="177"/>
      <c r="BH114" s="538">
        <f t="shared" si="222"/>
        <v>1.1424E-3</v>
      </c>
      <c r="BI114" s="538">
        <f t="shared" si="223"/>
        <v>6.8726784000000011E-3</v>
      </c>
      <c r="BJ114" s="538">
        <f t="shared" si="224"/>
        <v>1.8133333333333335E-3</v>
      </c>
      <c r="BK114" s="538">
        <f t="shared" si="225"/>
        <v>7.2355558195200016E-3</v>
      </c>
      <c r="BL114">
        <f t="shared" si="226"/>
        <v>3.48E-3</v>
      </c>
      <c r="BM114">
        <f t="shared" si="227"/>
        <v>2.5386666666666674E-6</v>
      </c>
      <c r="BN114">
        <f t="shared" si="228"/>
        <v>2.0705094290217819E-2</v>
      </c>
      <c r="BO114" s="469">
        <f t="shared" si="229"/>
        <v>20.543967552853335</v>
      </c>
      <c r="BP114" s="177">
        <f t="shared" si="230"/>
        <v>3.2000000000000002E-3</v>
      </c>
      <c r="BQ114" s="177">
        <f t="shared" si="231"/>
        <v>1.6000000000000001E-3</v>
      </c>
      <c r="BR114" s="538"/>
      <c r="BT114" s="469">
        <f t="shared" si="232"/>
        <v>4.8000000000000007</v>
      </c>
      <c r="BU114" s="538">
        <f t="shared" si="233"/>
        <v>3.2640000000000007E-4</v>
      </c>
      <c r="BV114" s="538">
        <f t="shared" si="234"/>
        <v>5.1333119999999975E-4</v>
      </c>
      <c r="BW114" s="538">
        <f t="shared" si="235"/>
        <v>2.1388799999999994E-4</v>
      </c>
      <c r="BX114" s="538">
        <f t="shared" si="236"/>
        <v>0</v>
      </c>
      <c r="BY114" s="538">
        <f t="shared" si="180"/>
        <v>1.1801529785469707E-3</v>
      </c>
      <c r="BZ114" s="538">
        <f t="shared" si="166"/>
        <v>1.0536191999999998E-3</v>
      </c>
      <c r="CA114" s="641">
        <f t="shared" si="237"/>
        <v>6.5280000000000026E-4</v>
      </c>
      <c r="CB114" s="469">
        <f t="shared" si="238"/>
        <v>3.9401913785469707</v>
      </c>
      <c r="CC114" s="177">
        <f t="shared" si="168"/>
        <v>2.7338047268764792E-2</v>
      </c>
      <c r="CD114" s="5">
        <f t="shared" si="239"/>
        <v>0.192</v>
      </c>
      <c r="CE114" s="177">
        <f t="shared" si="240"/>
        <v>0.87536112585489445</v>
      </c>
      <c r="CF114" s="5">
        <f t="shared" si="241"/>
        <v>87.536112585489448</v>
      </c>
      <c r="CG114">
        <f t="shared" si="242"/>
        <v>4</v>
      </c>
      <c r="CI114" s="571">
        <f t="shared" si="243"/>
        <v>-50</v>
      </c>
      <c r="CJ114">
        <f t="shared" si="244"/>
        <v>-50</v>
      </c>
    </row>
    <row r="115" spans="5:88" x14ac:dyDescent="0.25">
      <c r="E115" s="174">
        <v>5</v>
      </c>
      <c r="F115" s="221">
        <f t="shared" si="245"/>
        <v>1.0000000000000002E-2</v>
      </c>
      <c r="G115" s="221">
        <f t="shared" si="183"/>
        <v>5.000000000000001E-3</v>
      </c>
      <c r="H115" s="221">
        <f t="shared" si="184"/>
        <v>0.16000000000000003</v>
      </c>
      <c r="I115" s="221">
        <f t="shared" si="185"/>
        <v>8.0000000000000016E-2</v>
      </c>
      <c r="J115" s="551">
        <f t="shared" si="186"/>
        <v>12</v>
      </c>
      <c r="K115" s="451">
        <f t="shared" si="187"/>
        <v>19.584</v>
      </c>
      <c r="L115" s="451">
        <f t="shared" si="188"/>
        <v>31.584</v>
      </c>
      <c r="M115" s="451"/>
      <c r="N115" s="221">
        <f t="shared" si="189"/>
        <v>0.62006079027355621</v>
      </c>
      <c r="O115" s="176">
        <f t="shared" si="190"/>
        <v>3.3483282674772035</v>
      </c>
      <c r="P115" s="176">
        <f t="shared" si="191"/>
        <v>1.6741641337386017</v>
      </c>
      <c r="Q115" s="221">
        <f t="shared" si="192"/>
        <v>0.20927051671732522</v>
      </c>
      <c r="R115" s="221">
        <f t="shared" si="193"/>
        <v>0.20927051671732522</v>
      </c>
      <c r="S115" s="221">
        <f t="shared" si="194"/>
        <v>16</v>
      </c>
      <c r="T115" s="221">
        <f t="shared" si="195"/>
        <v>7.1677559912854044E-2</v>
      </c>
      <c r="U115" s="221">
        <f t="shared" si="196"/>
        <v>0.17919389978213512</v>
      </c>
      <c r="V115" s="221">
        <f t="shared" si="197"/>
        <v>0.10980018369003378</v>
      </c>
      <c r="W115" s="201">
        <f t="shared" si="198"/>
        <v>350</v>
      </c>
      <c r="X115" s="451">
        <f t="shared" si="199"/>
        <v>350</v>
      </c>
      <c r="Z115" s="221">
        <f t="shared" si="200"/>
        <v>0.70864090316977857</v>
      </c>
      <c r="AA115" s="177">
        <f t="shared" si="201"/>
        <v>1.0855405992184108</v>
      </c>
      <c r="AB115" s="177">
        <f t="shared" si="202"/>
        <v>0.1076961858920636</v>
      </c>
      <c r="AC115" s="177"/>
      <c r="AD115" s="177">
        <f t="shared" si="203"/>
        <v>0.4595588235294118</v>
      </c>
      <c r="AE115" s="555">
        <f t="shared" si="204"/>
        <v>181.3333333333334</v>
      </c>
      <c r="AF115" s="538">
        <f t="shared" si="205"/>
        <v>1.9301470588235291E-2</v>
      </c>
      <c r="AH115" s="177">
        <f t="shared" si="206"/>
        <v>0.21380899352993951</v>
      </c>
      <c r="AI115" s="177">
        <f t="shared" si="207"/>
        <v>0.3</v>
      </c>
      <c r="AJ115" s="177">
        <f t="shared" si="208"/>
        <v>1.1036190476190477</v>
      </c>
      <c r="AL115" s="555">
        <f t="shared" si="209"/>
        <v>10.000000000000002</v>
      </c>
      <c r="AM115" s="469">
        <f t="shared" si="210"/>
        <v>181.3333333333334</v>
      </c>
      <c r="AO115" s="469">
        <f t="shared" si="211"/>
        <v>10.000000000000002</v>
      </c>
      <c r="AP115" s="469">
        <f t="shared" si="212"/>
        <v>181.3333333333334</v>
      </c>
      <c r="AR115" s="5">
        <f t="shared" si="160"/>
        <v>5.5147058823529393</v>
      </c>
      <c r="AS115" s="5">
        <f t="shared" ref="AS115:AS178" si="246">L*AI115/J115*1000000</f>
        <v>0.75</v>
      </c>
      <c r="AT115" s="5">
        <f t="shared" ref="AT115:AT178" si="247">AR115-AS115</f>
        <v>4.7647058823529393</v>
      </c>
      <c r="AU115" s="177">
        <f t="shared" ref="AU115:AU178" si="248">AS115/AR115</f>
        <v>0.13600000000000004</v>
      </c>
      <c r="AW115" s="5">
        <f t="shared" si="216"/>
        <v>4.6875000000000007E-2</v>
      </c>
      <c r="AX115" s="5"/>
      <c r="AY115" s="5">
        <f t="shared" si="217"/>
        <v>2.3437500000000003E-2</v>
      </c>
      <c r="AZ115" s="5"/>
      <c r="BA115" s="5">
        <f t="shared" si="218"/>
        <v>4.4117647058823518E-2</v>
      </c>
      <c r="BB115" s="5"/>
      <c r="BC115" s="5"/>
      <c r="BD115" s="177">
        <f t="shared" si="219"/>
        <v>6.3874877690685256E-2</v>
      </c>
      <c r="BE115" s="177">
        <f t="shared" si="220"/>
        <v>0.12879751550398788</v>
      </c>
      <c r="BF115" s="177">
        <f t="shared" si="221"/>
        <v>6.439875775199394E-2</v>
      </c>
      <c r="BG115" s="177"/>
      <c r="BH115" s="538">
        <f t="shared" si="222"/>
        <v>1.4280000000000002E-3</v>
      </c>
      <c r="BI115" s="538">
        <f t="shared" si="223"/>
        <v>8.5908480000000016E-3</v>
      </c>
      <c r="BJ115" s="538">
        <f t="shared" si="224"/>
        <v>2.2666666666666673E-3</v>
      </c>
      <c r="BK115" s="538">
        <f t="shared" si="225"/>
        <v>9.0444447744000046E-3</v>
      </c>
      <c r="BL115">
        <f t="shared" si="226"/>
        <v>3.48E-3</v>
      </c>
      <c r="BM115">
        <f t="shared" si="227"/>
        <v>3.1733333333333349E-6</v>
      </c>
      <c r="BN115">
        <f t="shared" si="228"/>
        <v>2.5012502718441222E-2</v>
      </c>
      <c r="BO115" s="469">
        <f t="shared" si="229"/>
        <v>24.809959441066674</v>
      </c>
      <c r="BP115" s="177">
        <f t="shared" si="230"/>
        <v>4.000000000000001E-3</v>
      </c>
      <c r="BQ115" s="177">
        <f t="shared" si="231"/>
        <v>2.0000000000000005E-3</v>
      </c>
      <c r="BR115" s="538"/>
      <c r="BT115" s="469">
        <f t="shared" si="232"/>
        <v>6.0000000000000018</v>
      </c>
      <c r="BU115" s="538">
        <f t="shared" si="233"/>
        <v>4.0800000000000016E-4</v>
      </c>
      <c r="BV115" s="538">
        <f t="shared" si="234"/>
        <v>4.9766399999999988E-4</v>
      </c>
      <c r="BW115" s="538">
        <f t="shared" si="235"/>
        <v>2.0735999999999997E-4</v>
      </c>
      <c r="BX115" s="538">
        <f t="shared" si="236"/>
        <v>0</v>
      </c>
      <c r="BY115" s="538">
        <f t="shared" si="180"/>
        <v>1.2466978883736411E-3</v>
      </c>
      <c r="BZ115" s="538">
        <f t="shared" si="166"/>
        <v>1.113024E-3</v>
      </c>
      <c r="CA115" s="641">
        <f t="shared" si="237"/>
        <v>8.1600000000000043E-4</v>
      </c>
      <c r="CB115" s="469">
        <f t="shared" si="238"/>
        <v>4.2887458883736418</v>
      </c>
      <c r="CC115" s="177">
        <f t="shared" si="168"/>
        <v>3.3075200606814861E-2</v>
      </c>
      <c r="CD115" s="5">
        <f t="shared" si="239"/>
        <v>0.24000000000000005</v>
      </c>
      <c r="CE115" s="177">
        <f t="shared" si="240"/>
        <v>0.87887878308496459</v>
      </c>
      <c r="CF115" s="5">
        <f t="shared" si="241"/>
        <v>87.887878308496454</v>
      </c>
      <c r="CG115">
        <f t="shared" si="242"/>
        <v>5.0000000000000009</v>
      </c>
      <c r="CI115" s="571">
        <f t="shared" si="243"/>
        <v>-50</v>
      </c>
      <c r="CJ115">
        <f t="shared" si="244"/>
        <v>-50</v>
      </c>
    </row>
    <row r="116" spans="5:88" x14ac:dyDescent="0.25">
      <c r="E116" s="174">
        <v>6</v>
      </c>
      <c r="F116" s="221">
        <f t="shared" si="245"/>
        <v>1.2E-2</v>
      </c>
      <c r="G116" s="221">
        <f t="shared" si="183"/>
        <v>6.0000000000000001E-3</v>
      </c>
      <c r="H116" s="221">
        <f t="shared" si="184"/>
        <v>0.192</v>
      </c>
      <c r="I116" s="221">
        <f t="shared" si="185"/>
        <v>9.6000000000000002E-2</v>
      </c>
      <c r="J116" s="551">
        <f t="shared" si="186"/>
        <v>12</v>
      </c>
      <c r="K116" s="451">
        <f t="shared" si="187"/>
        <v>19.584</v>
      </c>
      <c r="L116" s="451">
        <f t="shared" si="188"/>
        <v>31.584</v>
      </c>
      <c r="M116" s="451"/>
      <c r="N116" s="221">
        <f t="shared" si="189"/>
        <v>0.62006079027355621</v>
      </c>
      <c r="O116" s="176">
        <f t="shared" si="190"/>
        <v>3.3483282674772035</v>
      </c>
      <c r="P116" s="176">
        <f t="shared" si="191"/>
        <v>1.6741641337386017</v>
      </c>
      <c r="Q116" s="221">
        <f t="shared" si="192"/>
        <v>0.20927051671732522</v>
      </c>
      <c r="R116" s="221">
        <f t="shared" si="193"/>
        <v>0.20927051671732522</v>
      </c>
      <c r="S116" s="221">
        <f t="shared" si="194"/>
        <v>16</v>
      </c>
      <c r="T116" s="221">
        <f t="shared" si="195"/>
        <v>8.6013071895424842E-2</v>
      </c>
      <c r="U116" s="221">
        <f t="shared" si="196"/>
        <v>0.2150326797385621</v>
      </c>
      <c r="V116" s="221">
        <f t="shared" si="197"/>
        <v>0.1317602204280405</v>
      </c>
      <c r="W116" s="201">
        <f t="shared" si="198"/>
        <v>350</v>
      </c>
      <c r="X116" s="451">
        <f t="shared" si="199"/>
        <v>350</v>
      </c>
      <c r="Z116" s="221">
        <f t="shared" si="200"/>
        <v>0.70864090316977857</v>
      </c>
      <c r="AA116" s="177">
        <f t="shared" si="201"/>
        <v>1.0855405992184108</v>
      </c>
      <c r="AB116" s="177">
        <f t="shared" si="202"/>
        <v>0.1076961858920636</v>
      </c>
      <c r="AC116" s="177"/>
      <c r="AD116" s="177">
        <f t="shared" si="203"/>
        <v>0.4595588235294118</v>
      </c>
      <c r="AE116" s="555">
        <f t="shared" si="204"/>
        <v>217.60000000000008</v>
      </c>
      <c r="AF116" s="538">
        <f t="shared" si="205"/>
        <v>1.9301470588235291E-2</v>
      </c>
      <c r="AH116" s="177">
        <f t="shared" si="206"/>
        <v>0.23421601750764798</v>
      </c>
      <c r="AI116" s="177">
        <f t="shared" si="207"/>
        <v>0.3</v>
      </c>
      <c r="AJ116" s="177">
        <f t="shared" si="208"/>
        <v>1.1243428571428571</v>
      </c>
      <c r="AL116" s="555">
        <f t="shared" si="209"/>
        <v>12</v>
      </c>
      <c r="AM116" s="469">
        <f t="shared" si="210"/>
        <v>217.60000000000008</v>
      </c>
      <c r="AO116" s="469">
        <f t="shared" si="211"/>
        <v>12</v>
      </c>
      <c r="AP116" s="469">
        <f t="shared" si="212"/>
        <v>217.60000000000008</v>
      </c>
      <c r="AR116" s="5">
        <f t="shared" si="160"/>
        <v>4.595588235294116</v>
      </c>
      <c r="AS116" s="5">
        <f t="shared" si="246"/>
        <v>0.75</v>
      </c>
      <c r="AT116" s="5">
        <f t="shared" si="247"/>
        <v>3.845588235294116</v>
      </c>
      <c r="AU116" s="177">
        <f t="shared" si="248"/>
        <v>0.16320000000000007</v>
      </c>
      <c r="AW116" s="5">
        <f t="shared" si="216"/>
        <v>5.6250000000000008E-2</v>
      </c>
      <c r="AX116" s="5"/>
      <c r="AY116" s="5">
        <f t="shared" si="217"/>
        <v>2.8125000000000004E-2</v>
      </c>
      <c r="AZ116" s="5"/>
      <c r="BA116" s="5">
        <f t="shared" si="218"/>
        <v>4.2728758169934621E-2</v>
      </c>
      <c r="BB116" s="5"/>
      <c r="BC116" s="5"/>
      <c r="BD116" s="177">
        <f t="shared" si="219"/>
        <v>6.9971422738143621E-2</v>
      </c>
      <c r="BE116" s="177">
        <f t="shared" si="220"/>
        <v>0.12675393485016551</v>
      </c>
      <c r="BF116" s="177">
        <f t="shared" si="221"/>
        <v>6.3376967425082753E-2</v>
      </c>
      <c r="BG116" s="177"/>
      <c r="BH116" s="538">
        <f t="shared" si="222"/>
        <v>1.7136000000000005E-3</v>
      </c>
      <c r="BI116" s="538">
        <f t="shared" si="223"/>
        <v>1.0309017600000003E-2</v>
      </c>
      <c r="BJ116" s="538">
        <f t="shared" si="224"/>
        <v>2.7200000000000011E-3</v>
      </c>
      <c r="BK116" s="538">
        <f t="shared" si="225"/>
        <v>1.0853333729280004E-2</v>
      </c>
      <c r="BL116">
        <f t="shared" si="226"/>
        <v>3.48E-3</v>
      </c>
      <c r="BM116">
        <f t="shared" si="227"/>
        <v>3.8080000000000015E-6</v>
      </c>
      <c r="BN116">
        <f t="shared" si="228"/>
        <v>2.9320365232495628E-2</v>
      </c>
      <c r="BO116" s="469">
        <f t="shared" si="229"/>
        <v>29.075951329280009</v>
      </c>
      <c r="BP116" s="177">
        <f t="shared" si="230"/>
        <v>4.8000000000000004E-3</v>
      </c>
      <c r="BQ116" s="177">
        <f t="shared" si="231"/>
        <v>2.4000000000000002E-3</v>
      </c>
      <c r="BR116" s="538"/>
      <c r="BT116" s="469">
        <f t="shared" si="232"/>
        <v>7.2000000000000011</v>
      </c>
      <c r="BU116" s="538">
        <f t="shared" si="233"/>
        <v>4.8960000000000019E-4</v>
      </c>
      <c r="BV116" s="538">
        <f t="shared" si="234"/>
        <v>4.819968E-4</v>
      </c>
      <c r="BW116" s="538">
        <f t="shared" si="235"/>
        <v>2.0083200000000002E-4</v>
      </c>
      <c r="BX116" s="538">
        <f t="shared" si="236"/>
        <v>0</v>
      </c>
      <c r="BY116" s="538">
        <f t="shared" si="180"/>
        <v>1.3132434307535706E-3</v>
      </c>
      <c r="BZ116" s="538">
        <f t="shared" si="166"/>
        <v>1.1724288000000002E-3</v>
      </c>
      <c r="CA116" s="641">
        <f t="shared" si="237"/>
        <v>9.792000000000006E-4</v>
      </c>
      <c r="CB116" s="469">
        <f t="shared" si="238"/>
        <v>4.6373010307535711</v>
      </c>
      <c r="CC116" s="177">
        <f t="shared" si="168"/>
        <v>3.8812808663249196E-2</v>
      </c>
      <c r="CD116" s="5">
        <f t="shared" si="239"/>
        <v>0.28800000000000003</v>
      </c>
      <c r="CE116" s="177">
        <f t="shared" si="240"/>
        <v>0.88123841038543183</v>
      </c>
      <c r="CF116" s="5">
        <f t="shared" si="241"/>
        <v>88.123841038543176</v>
      </c>
      <c r="CG116">
        <f t="shared" si="242"/>
        <v>6</v>
      </c>
      <c r="CI116" s="571">
        <f t="shared" si="243"/>
        <v>-50</v>
      </c>
      <c r="CJ116">
        <f t="shared" si="244"/>
        <v>-50</v>
      </c>
    </row>
    <row r="117" spans="5:88" x14ac:dyDescent="0.25">
      <c r="E117" s="174">
        <v>7</v>
      </c>
      <c r="F117" s="221">
        <f t="shared" si="245"/>
        <v>1.4000000000000002E-2</v>
      </c>
      <c r="G117" s="221">
        <f t="shared" si="183"/>
        <v>7.000000000000001E-3</v>
      </c>
      <c r="H117" s="221">
        <f t="shared" si="184"/>
        <v>0.22400000000000003</v>
      </c>
      <c r="I117" s="221">
        <f t="shared" si="185"/>
        <v>0.11200000000000002</v>
      </c>
      <c r="J117" s="551">
        <f t="shared" si="186"/>
        <v>12</v>
      </c>
      <c r="K117" s="451">
        <f t="shared" si="187"/>
        <v>19.584</v>
      </c>
      <c r="L117" s="451">
        <f t="shared" si="188"/>
        <v>31.584</v>
      </c>
      <c r="M117" s="451"/>
      <c r="N117" s="221">
        <f t="shared" si="189"/>
        <v>0.62006079027355621</v>
      </c>
      <c r="O117" s="176">
        <f t="shared" si="190"/>
        <v>3.3483282674772035</v>
      </c>
      <c r="P117" s="176">
        <f t="shared" si="191"/>
        <v>1.6741641337386017</v>
      </c>
      <c r="Q117" s="221">
        <f t="shared" si="192"/>
        <v>0.20927051671732522</v>
      </c>
      <c r="R117" s="221">
        <f t="shared" si="193"/>
        <v>0.20927051671732522</v>
      </c>
      <c r="S117" s="221">
        <f t="shared" si="194"/>
        <v>16</v>
      </c>
      <c r="T117" s="221">
        <f t="shared" si="195"/>
        <v>0.10034858387799565</v>
      </c>
      <c r="U117" s="221">
        <f t="shared" si="196"/>
        <v>0.25087145969498914</v>
      </c>
      <c r="V117" s="221">
        <f t="shared" si="197"/>
        <v>0.15372025716604726</v>
      </c>
      <c r="W117" s="201">
        <f t="shared" si="198"/>
        <v>350</v>
      </c>
      <c r="X117" s="451">
        <f t="shared" si="199"/>
        <v>350</v>
      </c>
      <c r="Z117" s="221">
        <f t="shared" si="200"/>
        <v>0.70864090316977857</v>
      </c>
      <c r="AA117" s="177">
        <f t="shared" si="201"/>
        <v>1.0855405992184108</v>
      </c>
      <c r="AB117" s="177">
        <f t="shared" si="202"/>
        <v>0.1076961858920636</v>
      </c>
      <c r="AC117" s="177"/>
      <c r="AD117" s="177">
        <f t="shared" si="203"/>
        <v>0.4595588235294118</v>
      </c>
      <c r="AE117" s="555">
        <f t="shared" si="204"/>
        <v>253.86666666666676</v>
      </c>
      <c r="AF117" s="538">
        <f t="shared" si="205"/>
        <v>1.9301470588235291E-2</v>
      </c>
      <c r="AH117" s="177">
        <f t="shared" si="206"/>
        <v>0.25298221281347039</v>
      </c>
      <c r="AI117" s="177">
        <f t="shared" si="207"/>
        <v>0.3</v>
      </c>
      <c r="AJ117" s="177">
        <f t="shared" si="208"/>
        <v>1.1450666666666667</v>
      </c>
      <c r="AL117" s="555">
        <f t="shared" si="209"/>
        <v>14.000000000000002</v>
      </c>
      <c r="AM117" s="469">
        <f t="shared" si="210"/>
        <v>253.86666666666676</v>
      </c>
      <c r="AO117" s="469">
        <f t="shared" si="211"/>
        <v>14.000000000000002</v>
      </c>
      <c r="AP117" s="469">
        <f t="shared" si="212"/>
        <v>253.86666666666676</v>
      </c>
      <c r="AR117" s="5">
        <f t="shared" si="160"/>
        <v>3.9390756302520988</v>
      </c>
      <c r="AS117" s="5">
        <f t="shared" si="246"/>
        <v>0.75</v>
      </c>
      <c r="AT117" s="5">
        <f t="shared" si="247"/>
        <v>3.1890756302520988</v>
      </c>
      <c r="AU117" s="177">
        <f t="shared" si="248"/>
        <v>0.1904000000000001</v>
      </c>
      <c r="AW117" s="5">
        <f t="shared" si="216"/>
        <v>6.5625000000000003E-2</v>
      </c>
      <c r="AX117" s="5"/>
      <c r="AY117" s="5">
        <f t="shared" si="217"/>
        <v>3.2812500000000001E-2</v>
      </c>
      <c r="AZ117" s="5"/>
      <c r="BA117" s="5">
        <f t="shared" si="218"/>
        <v>4.133986928104573E-2</v>
      </c>
      <c r="BB117" s="5"/>
      <c r="BC117" s="5"/>
      <c r="BD117" s="177">
        <f t="shared" si="219"/>
        <v>7.557777451076475E-2</v>
      </c>
      <c r="BE117" s="177">
        <f t="shared" si="220"/>
        <v>0.12467686232818018</v>
      </c>
      <c r="BF117" s="177">
        <f t="shared" si="221"/>
        <v>6.2338431164090088E-2</v>
      </c>
      <c r="BG117" s="177"/>
      <c r="BH117" s="538">
        <f t="shared" si="222"/>
        <v>1.9992000000000005E-3</v>
      </c>
      <c r="BI117" s="538">
        <f t="shared" si="223"/>
        <v>1.2027187200000003E-2</v>
      </c>
      <c r="BJ117" s="538">
        <f t="shared" si="224"/>
        <v>3.1733333333333344E-3</v>
      </c>
      <c r="BK117" s="538">
        <f t="shared" si="225"/>
        <v>1.2662222684160005E-2</v>
      </c>
      <c r="BL117">
        <f t="shared" si="226"/>
        <v>3.48E-3</v>
      </c>
      <c r="BM117">
        <f t="shared" si="227"/>
        <v>4.442666666666669E-6</v>
      </c>
      <c r="BN117">
        <f t="shared" si="228"/>
        <v>3.3628681904189203E-2</v>
      </c>
      <c r="BO117" s="469">
        <f t="shared" si="229"/>
        <v>33.341943217493345</v>
      </c>
      <c r="BP117" s="177">
        <f t="shared" si="230"/>
        <v>5.6000000000000008E-3</v>
      </c>
      <c r="BQ117" s="177">
        <f t="shared" si="231"/>
        <v>2.8000000000000004E-3</v>
      </c>
      <c r="BR117" s="538"/>
      <c r="BT117" s="469">
        <f t="shared" si="232"/>
        <v>8.4</v>
      </c>
      <c r="BU117" s="538">
        <f t="shared" si="233"/>
        <v>5.7120000000000022E-4</v>
      </c>
      <c r="BV117" s="538">
        <f t="shared" si="234"/>
        <v>4.663295999999998E-4</v>
      </c>
      <c r="BW117" s="538">
        <f t="shared" si="235"/>
        <v>1.9430399999999993E-4</v>
      </c>
      <c r="BX117" s="538">
        <f t="shared" si="236"/>
        <v>0</v>
      </c>
      <c r="BY117" s="538">
        <f t="shared" si="180"/>
        <v>1.3797896056957782E-3</v>
      </c>
      <c r="BZ117" s="538">
        <f t="shared" si="166"/>
        <v>1.2318335999999999E-3</v>
      </c>
      <c r="CA117" s="641">
        <f t="shared" si="237"/>
        <v>1.1424000000000004E-3</v>
      </c>
      <c r="CB117" s="469">
        <f t="shared" si="238"/>
        <v>4.9858568056957777</v>
      </c>
      <c r="CC117" s="177">
        <f t="shared" si="168"/>
        <v>4.4550871509884987E-2</v>
      </c>
      <c r="CD117" s="5">
        <f t="shared" si="239"/>
        <v>0.33600000000000008</v>
      </c>
      <c r="CE117" s="177">
        <f t="shared" si="240"/>
        <v>0.88293057552825027</v>
      </c>
      <c r="CF117" s="5">
        <f t="shared" si="241"/>
        <v>88.293057552825033</v>
      </c>
      <c r="CG117">
        <f t="shared" si="242"/>
        <v>7.0000000000000009</v>
      </c>
      <c r="CI117" s="571">
        <f t="shared" si="243"/>
        <v>-50</v>
      </c>
      <c r="CJ117">
        <f t="shared" si="244"/>
        <v>-50</v>
      </c>
    </row>
    <row r="118" spans="5:88" x14ac:dyDescent="0.25">
      <c r="E118" s="174">
        <v>8</v>
      </c>
      <c r="F118" s="221">
        <f t="shared" si="245"/>
        <v>1.6E-2</v>
      </c>
      <c r="G118" s="221">
        <f t="shared" si="183"/>
        <v>8.0000000000000002E-3</v>
      </c>
      <c r="H118" s="221">
        <f t="shared" si="184"/>
        <v>0.25600000000000001</v>
      </c>
      <c r="I118" s="221">
        <f t="shared" si="185"/>
        <v>0.128</v>
      </c>
      <c r="J118" s="551">
        <f t="shared" si="186"/>
        <v>12</v>
      </c>
      <c r="K118" s="451">
        <f t="shared" si="187"/>
        <v>19.584</v>
      </c>
      <c r="L118" s="451">
        <f t="shared" si="188"/>
        <v>31.584</v>
      </c>
      <c r="M118" s="451"/>
      <c r="N118" s="221">
        <f t="shared" si="189"/>
        <v>0.62006079027355621</v>
      </c>
      <c r="O118" s="176">
        <f t="shared" si="190"/>
        <v>3.3483282674772035</v>
      </c>
      <c r="P118" s="176">
        <f t="shared" si="191"/>
        <v>1.6741641337386017</v>
      </c>
      <c r="Q118" s="221">
        <f t="shared" si="192"/>
        <v>0.20927051671732522</v>
      </c>
      <c r="R118" s="221">
        <f t="shared" si="193"/>
        <v>0.20927051671732522</v>
      </c>
      <c r="S118" s="221">
        <f t="shared" si="194"/>
        <v>16</v>
      </c>
      <c r="T118" s="221">
        <f t="shared" si="195"/>
        <v>0.11468409586056644</v>
      </c>
      <c r="U118" s="221">
        <f t="shared" si="196"/>
        <v>0.28671023965141612</v>
      </c>
      <c r="V118" s="221">
        <f t="shared" si="197"/>
        <v>0.17568029390405399</v>
      </c>
      <c r="W118" s="201">
        <f t="shared" si="198"/>
        <v>350</v>
      </c>
      <c r="X118" s="451">
        <f t="shared" si="199"/>
        <v>350</v>
      </c>
      <c r="Z118" s="221">
        <f t="shared" si="200"/>
        <v>0.70864090316977857</v>
      </c>
      <c r="AA118" s="177">
        <f t="shared" si="201"/>
        <v>1.0855405992184108</v>
      </c>
      <c r="AB118" s="177">
        <f t="shared" si="202"/>
        <v>0.1076961858920636</v>
      </c>
      <c r="AC118" s="177"/>
      <c r="AD118" s="177">
        <f t="shared" si="203"/>
        <v>0.4595588235294118</v>
      </c>
      <c r="AE118" s="555">
        <f t="shared" si="204"/>
        <v>290.13333333333338</v>
      </c>
      <c r="AF118" s="538">
        <f t="shared" si="205"/>
        <v>1.9301470588235291E-2</v>
      </c>
      <c r="AH118" s="177">
        <f t="shared" si="206"/>
        <v>0.27044936151312532</v>
      </c>
      <c r="AI118" s="177">
        <f t="shared" si="207"/>
        <v>0.3</v>
      </c>
      <c r="AJ118" s="177">
        <f t="shared" si="208"/>
        <v>1.1657904761904763</v>
      </c>
      <c r="AL118" s="555">
        <f t="shared" si="209"/>
        <v>16</v>
      </c>
      <c r="AM118" s="469">
        <f t="shared" si="210"/>
        <v>290.13333333333338</v>
      </c>
      <c r="AO118" s="469">
        <f t="shared" si="211"/>
        <v>16</v>
      </c>
      <c r="AP118" s="469">
        <f t="shared" si="212"/>
        <v>290.13333333333338</v>
      </c>
      <c r="AR118" s="5">
        <f t="shared" si="160"/>
        <v>3.4466911764705879</v>
      </c>
      <c r="AS118" s="5">
        <f t="shared" si="246"/>
        <v>0.75</v>
      </c>
      <c r="AT118" s="5">
        <f t="shared" si="247"/>
        <v>2.6966911764705879</v>
      </c>
      <c r="AU118" s="177">
        <f t="shared" si="248"/>
        <v>0.21760000000000002</v>
      </c>
      <c r="AW118" s="5">
        <f t="shared" si="216"/>
        <v>7.5000000000000011E-2</v>
      </c>
      <c r="AX118" s="5"/>
      <c r="AY118" s="5">
        <f t="shared" si="217"/>
        <v>3.7500000000000006E-2</v>
      </c>
      <c r="AZ118" s="5"/>
      <c r="BA118" s="5">
        <f t="shared" si="218"/>
        <v>3.9950980392156853E-2</v>
      </c>
      <c r="BB118" s="5"/>
      <c r="BC118" s="5"/>
      <c r="BD118" s="177">
        <f t="shared" si="219"/>
        <v>8.0796039506896622E-2</v>
      </c>
      <c r="BE118" s="177">
        <f t="shared" si="220"/>
        <v>0.12256459521411556</v>
      </c>
      <c r="BF118" s="177">
        <f t="shared" si="221"/>
        <v>6.1282297607057779E-2</v>
      </c>
      <c r="BG118" s="177"/>
      <c r="BH118" s="538">
        <f t="shared" si="222"/>
        <v>2.2848E-3</v>
      </c>
      <c r="BI118" s="538">
        <f t="shared" si="223"/>
        <v>1.3745356800000002E-2</v>
      </c>
      <c r="BJ118" s="538">
        <f t="shared" si="224"/>
        <v>3.6266666666666669E-3</v>
      </c>
      <c r="BK118" s="538">
        <f t="shared" si="225"/>
        <v>1.4471111639040003E-2</v>
      </c>
      <c r="BL118">
        <f t="shared" si="226"/>
        <v>3.48E-3</v>
      </c>
      <c r="BM118">
        <f t="shared" si="227"/>
        <v>5.0773333333333348E-6</v>
      </c>
      <c r="BN118">
        <f t="shared" si="228"/>
        <v>3.7937452805345301E-2</v>
      </c>
      <c r="BO118" s="469">
        <f t="shared" si="229"/>
        <v>37.607935105706666</v>
      </c>
      <c r="BP118" s="177">
        <f t="shared" si="230"/>
        <v>6.4000000000000003E-3</v>
      </c>
      <c r="BQ118" s="177">
        <f t="shared" si="231"/>
        <v>3.2000000000000002E-3</v>
      </c>
      <c r="BR118" s="538"/>
      <c r="BT118" s="469">
        <f t="shared" si="232"/>
        <v>9.6000000000000014</v>
      </c>
      <c r="BU118" s="538">
        <f t="shared" si="233"/>
        <v>6.5280000000000004E-4</v>
      </c>
      <c r="BV118" s="538">
        <f t="shared" si="234"/>
        <v>4.5066239999999992E-4</v>
      </c>
      <c r="BW118" s="538">
        <f t="shared" si="235"/>
        <v>1.8777599999999999E-4</v>
      </c>
      <c r="BX118" s="538">
        <f t="shared" si="236"/>
        <v>0</v>
      </c>
      <c r="BY118" s="538">
        <f t="shared" si="180"/>
        <v>1.4463364132092846E-3</v>
      </c>
      <c r="BZ118" s="538">
        <f t="shared" si="166"/>
        <v>1.2912384E-3</v>
      </c>
      <c r="CA118" s="641">
        <f t="shared" si="237"/>
        <v>1.3056000000000005E-3</v>
      </c>
      <c r="CB118" s="469">
        <f t="shared" si="238"/>
        <v>5.3344132132092845</v>
      </c>
      <c r="CC118" s="177">
        <f t="shared" si="168"/>
        <v>5.0289389218554595E-2</v>
      </c>
      <c r="CD118" s="5">
        <f t="shared" si="239"/>
        <v>0.38400000000000001</v>
      </c>
      <c r="CE118" s="177">
        <f t="shared" si="240"/>
        <v>0.88420304417512119</v>
      </c>
      <c r="CF118" s="5">
        <f t="shared" si="241"/>
        <v>88.420304417512114</v>
      </c>
      <c r="CG118">
        <f t="shared" si="242"/>
        <v>8</v>
      </c>
      <c r="CI118" s="571">
        <f t="shared" si="243"/>
        <v>-50</v>
      </c>
      <c r="CJ118">
        <f t="shared" si="244"/>
        <v>-50</v>
      </c>
    </row>
    <row r="119" spans="5:88" x14ac:dyDescent="0.25">
      <c r="E119" s="174">
        <v>9</v>
      </c>
      <c r="F119" s="221">
        <f t="shared" si="245"/>
        <v>1.7999999999999999E-2</v>
      </c>
      <c r="G119" s="221">
        <f t="shared" si="183"/>
        <v>8.9999999999999993E-3</v>
      </c>
      <c r="H119" s="221">
        <f t="shared" si="184"/>
        <v>0.28799999999999998</v>
      </c>
      <c r="I119" s="221">
        <f t="shared" si="185"/>
        <v>0.14399999999999999</v>
      </c>
      <c r="J119" s="551">
        <f t="shared" si="186"/>
        <v>12</v>
      </c>
      <c r="K119" s="451">
        <f t="shared" si="187"/>
        <v>19.584</v>
      </c>
      <c r="L119" s="451">
        <f t="shared" si="188"/>
        <v>31.584</v>
      </c>
      <c r="M119" s="451"/>
      <c r="N119" s="221">
        <f t="shared" si="189"/>
        <v>0.62006079027355621</v>
      </c>
      <c r="O119" s="176">
        <f t="shared" si="190"/>
        <v>3.3483282674772035</v>
      </c>
      <c r="P119" s="176">
        <f t="shared" si="191"/>
        <v>1.6741641337386017</v>
      </c>
      <c r="Q119" s="221">
        <f t="shared" si="192"/>
        <v>0.20927051671732522</v>
      </c>
      <c r="R119" s="221">
        <f t="shared" si="193"/>
        <v>0.20927051671732522</v>
      </c>
      <c r="S119" s="221">
        <f t="shared" si="194"/>
        <v>16</v>
      </c>
      <c r="T119" s="221">
        <f t="shared" si="195"/>
        <v>0.12901960784313724</v>
      </c>
      <c r="U119" s="221">
        <f t="shared" si="196"/>
        <v>0.3225490196078431</v>
      </c>
      <c r="V119" s="221">
        <f t="shared" si="197"/>
        <v>0.19764033064206074</v>
      </c>
      <c r="W119" s="201">
        <f t="shared" si="198"/>
        <v>350</v>
      </c>
      <c r="X119" s="451">
        <f t="shared" si="199"/>
        <v>350</v>
      </c>
      <c r="Z119" s="221">
        <f t="shared" si="200"/>
        <v>0.70864090316977857</v>
      </c>
      <c r="AA119" s="177">
        <f t="shared" si="201"/>
        <v>1.0855405992184108</v>
      </c>
      <c r="AB119" s="177">
        <f t="shared" si="202"/>
        <v>0.1076961858920636</v>
      </c>
      <c r="AC119" s="177"/>
      <c r="AD119" s="177">
        <f t="shared" si="203"/>
        <v>0.4595588235294118</v>
      </c>
      <c r="AE119" s="555">
        <f t="shared" si="204"/>
        <v>326.39999999999998</v>
      </c>
      <c r="AF119" s="538">
        <f t="shared" si="205"/>
        <v>1.9301470588235291E-2</v>
      </c>
      <c r="AH119" s="177">
        <f t="shared" si="206"/>
        <v>0.28685486624025447</v>
      </c>
      <c r="AI119" s="177">
        <f t="shared" si="207"/>
        <v>0.3</v>
      </c>
      <c r="AJ119" s="177">
        <f t="shared" si="208"/>
        <v>1.1865142857142856</v>
      </c>
      <c r="AL119" s="555">
        <f t="shared" si="209"/>
        <v>18</v>
      </c>
      <c r="AM119" s="469">
        <f t="shared" si="210"/>
        <v>326.39999999999998</v>
      </c>
      <c r="AO119" s="469">
        <f t="shared" si="211"/>
        <v>18</v>
      </c>
      <c r="AP119" s="469">
        <f t="shared" si="212"/>
        <v>326.39999999999998</v>
      </c>
      <c r="AR119" s="5">
        <f t="shared" si="160"/>
        <v>3.0637254901960786</v>
      </c>
      <c r="AS119" s="5">
        <f t="shared" si="246"/>
        <v>0.75</v>
      </c>
      <c r="AT119" s="5">
        <f t="shared" si="247"/>
        <v>2.3137254901960786</v>
      </c>
      <c r="AU119" s="177">
        <f t="shared" si="248"/>
        <v>0.24479999999999999</v>
      </c>
      <c r="AW119" s="5">
        <f t="shared" si="216"/>
        <v>8.4374999999999992E-2</v>
      </c>
      <c r="AX119" s="5"/>
      <c r="AY119" s="5">
        <f t="shared" si="217"/>
        <v>4.2187499999999996E-2</v>
      </c>
      <c r="AZ119" s="5"/>
      <c r="BA119" s="5">
        <f t="shared" si="218"/>
        <v>3.8562091503267969E-2</v>
      </c>
      <c r="BB119" s="5"/>
      <c r="BC119" s="5"/>
      <c r="BD119" s="177">
        <f t="shared" si="219"/>
        <v>8.5697141142514185E-2</v>
      </c>
      <c r="BE119" s="177">
        <f t="shared" si="220"/>
        <v>0.12041528142225136</v>
      </c>
      <c r="BF119" s="177">
        <f t="shared" si="221"/>
        <v>6.0207640711125679E-2</v>
      </c>
      <c r="BG119" s="177"/>
      <c r="BH119" s="538">
        <f t="shared" si="222"/>
        <v>2.5703999999999987E-3</v>
      </c>
      <c r="BI119" s="538">
        <f t="shared" si="223"/>
        <v>1.54635264E-2</v>
      </c>
      <c r="BJ119" s="538">
        <f t="shared" si="224"/>
        <v>4.0800000000000003E-3</v>
      </c>
      <c r="BK119" s="538">
        <f t="shared" si="225"/>
        <v>1.6280000593919999E-2</v>
      </c>
      <c r="BL119">
        <f t="shared" si="226"/>
        <v>3.48E-3</v>
      </c>
      <c r="BM119">
        <f t="shared" si="227"/>
        <v>5.7119999999999997E-6</v>
      </c>
      <c r="BN119">
        <f t="shared" si="228"/>
        <v>4.2246678007802393E-2</v>
      </c>
      <c r="BO119" s="469">
        <f t="shared" si="229"/>
        <v>41.873926993919994</v>
      </c>
      <c r="BP119" s="177">
        <f t="shared" si="230"/>
        <v>7.1999999999999998E-3</v>
      </c>
      <c r="BQ119" s="177">
        <f t="shared" si="231"/>
        <v>3.5999999999999999E-3</v>
      </c>
      <c r="BR119" s="538"/>
      <c r="BT119" s="469">
        <f t="shared" si="232"/>
        <v>10.8</v>
      </c>
      <c r="BU119" s="538">
        <f t="shared" si="233"/>
        <v>7.3439999999999974E-4</v>
      </c>
      <c r="BV119" s="538">
        <f t="shared" si="234"/>
        <v>4.3499519999999978E-4</v>
      </c>
      <c r="BW119" s="538">
        <f t="shared" si="235"/>
        <v>1.8124799999999993E-4</v>
      </c>
      <c r="BX119" s="538">
        <f t="shared" si="236"/>
        <v>0</v>
      </c>
      <c r="BY119" s="538">
        <f t="shared" si="180"/>
        <v>1.5128838533031081E-3</v>
      </c>
      <c r="BZ119" s="538">
        <f t="shared" si="166"/>
        <v>1.3506431999999995E-3</v>
      </c>
      <c r="CA119" s="641">
        <f t="shared" si="237"/>
        <v>1.4687999999999999E-3</v>
      </c>
      <c r="CB119" s="469">
        <f t="shared" si="238"/>
        <v>5.6829702533031075</v>
      </c>
      <c r="CC119" s="177">
        <f t="shared" si="168"/>
        <v>5.6028361861105498E-2</v>
      </c>
      <c r="CD119" s="5">
        <f t="shared" si="239"/>
        <v>0.43199999999999994</v>
      </c>
      <c r="CE119" s="177">
        <f t="shared" si="240"/>
        <v>0.88519445540533692</v>
      </c>
      <c r="CF119" s="5">
        <f t="shared" si="241"/>
        <v>88.519445540533695</v>
      </c>
      <c r="CG119">
        <f t="shared" si="242"/>
        <v>8.9999999999999982</v>
      </c>
      <c r="CI119" s="571">
        <f t="shared" si="243"/>
        <v>-50</v>
      </c>
      <c r="CJ119">
        <f t="shared" si="244"/>
        <v>-50</v>
      </c>
    </row>
    <row r="120" spans="5:88" x14ac:dyDescent="0.25">
      <c r="E120" s="174">
        <v>10</v>
      </c>
      <c r="F120" s="221">
        <f t="shared" si="245"/>
        <v>2.0000000000000004E-2</v>
      </c>
      <c r="G120" s="221">
        <f t="shared" si="183"/>
        <v>1.0000000000000002E-2</v>
      </c>
      <c r="H120" s="221">
        <f t="shared" si="184"/>
        <v>0.32000000000000006</v>
      </c>
      <c r="I120" s="221">
        <f t="shared" si="185"/>
        <v>0.16000000000000003</v>
      </c>
      <c r="J120" s="551">
        <f t="shared" si="186"/>
        <v>12</v>
      </c>
      <c r="K120" s="451">
        <f t="shared" si="187"/>
        <v>19.584</v>
      </c>
      <c r="L120" s="451">
        <f t="shared" si="188"/>
        <v>31.584</v>
      </c>
      <c r="M120" s="451"/>
      <c r="N120" s="221">
        <f t="shared" si="189"/>
        <v>0.62006079027355621</v>
      </c>
      <c r="O120" s="176">
        <f t="shared" si="190"/>
        <v>3.3483282674772035</v>
      </c>
      <c r="P120" s="176">
        <f t="shared" si="191"/>
        <v>1.6741641337386017</v>
      </c>
      <c r="Q120" s="221">
        <f t="shared" si="192"/>
        <v>0.20927051671732522</v>
      </c>
      <c r="R120" s="221">
        <f t="shared" si="193"/>
        <v>0.20927051671732522</v>
      </c>
      <c r="S120" s="221">
        <f t="shared" si="194"/>
        <v>16</v>
      </c>
      <c r="T120" s="221">
        <f t="shared" si="195"/>
        <v>0.14335511982570809</v>
      </c>
      <c r="U120" s="221">
        <f t="shared" si="196"/>
        <v>0.35838779956427025</v>
      </c>
      <c r="V120" s="221">
        <f t="shared" si="197"/>
        <v>0.21960036738006755</v>
      </c>
      <c r="W120" s="201">
        <f t="shared" si="198"/>
        <v>350</v>
      </c>
      <c r="X120" s="451">
        <f t="shared" si="199"/>
        <v>350</v>
      </c>
      <c r="Z120" s="221">
        <f t="shared" si="200"/>
        <v>0.70864090316977857</v>
      </c>
      <c r="AA120" s="177">
        <f t="shared" si="201"/>
        <v>1.0855405992184108</v>
      </c>
      <c r="AB120" s="177">
        <f t="shared" si="202"/>
        <v>0.1076961858920636</v>
      </c>
      <c r="AC120" s="177"/>
      <c r="AD120" s="177">
        <f t="shared" si="203"/>
        <v>0.4595588235294118</v>
      </c>
      <c r="AE120" s="555">
        <f t="shared" si="204"/>
        <v>362.6666666666668</v>
      </c>
      <c r="AF120" s="538">
        <f t="shared" si="205"/>
        <v>1.9301470588235291E-2</v>
      </c>
      <c r="AH120" s="177">
        <f t="shared" si="206"/>
        <v>0.30237157840738182</v>
      </c>
      <c r="AI120" s="177">
        <f t="shared" si="207"/>
        <v>0.30237157840738182</v>
      </c>
      <c r="AJ120" s="177">
        <f t="shared" si="208"/>
        <v>1.2017567247462086</v>
      </c>
      <c r="AL120" s="555">
        <f t="shared" si="209"/>
        <v>20.000000000000004</v>
      </c>
      <c r="AM120" s="469">
        <f t="shared" si="210"/>
        <v>350</v>
      </c>
      <c r="AO120" s="469">
        <f t="shared" si="211"/>
        <v>20.000000000000004</v>
      </c>
      <c r="AP120" s="469">
        <f t="shared" si="212"/>
        <v>350</v>
      </c>
      <c r="AR120" s="5">
        <f t="shared" si="160"/>
        <v>2.8571428571428572</v>
      </c>
      <c r="AS120" s="5">
        <f t="shared" si="246"/>
        <v>0.75592894601845462</v>
      </c>
      <c r="AT120" s="5">
        <f t="shared" si="247"/>
        <v>2.1012139111244026</v>
      </c>
      <c r="AU120" s="177">
        <f t="shared" si="248"/>
        <v>0.26457513110645908</v>
      </c>
      <c r="AW120" s="5">
        <f t="shared" si="216"/>
        <v>9.4491118252306841E-2</v>
      </c>
      <c r="AX120" s="5"/>
      <c r="AY120" s="5">
        <f t="shared" si="217"/>
        <v>4.7245559126153421E-2</v>
      </c>
      <c r="AZ120" s="5"/>
      <c r="BA120" s="5">
        <f t="shared" si="218"/>
        <v>3.8911368724525976E-2</v>
      </c>
      <c r="BB120" s="5"/>
      <c r="BC120" s="5"/>
      <c r="BD120" s="177">
        <f t="shared" si="219"/>
        <v>8.9795557188891678E-2</v>
      </c>
      <c r="BE120" s="177">
        <f t="shared" si="220"/>
        <v>0.11976763739261645</v>
      </c>
      <c r="BF120" s="177">
        <f t="shared" si="221"/>
        <v>5.9883818696308225E-2</v>
      </c>
      <c r="BG120" s="177"/>
      <c r="BH120" s="538">
        <f t="shared" si="222"/>
        <v>2.8221347318022304E-3</v>
      </c>
      <c r="BI120" s="538">
        <f t="shared" si="223"/>
        <v>1.6712681881732805E-2</v>
      </c>
      <c r="BJ120" s="538">
        <f t="shared" si="224"/>
        <v>4.3749999999999995E-3</v>
      </c>
      <c r="BK120" s="538">
        <f t="shared" si="225"/>
        <v>1.7457108480000001E-2</v>
      </c>
      <c r="BL120">
        <f t="shared" si="226"/>
        <v>3.48E-3</v>
      </c>
      <c r="BM120">
        <f t="shared" si="227"/>
        <v>6.1250000000000006E-6</v>
      </c>
      <c r="BN120">
        <f t="shared" si="228"/>
        <v>4.5257603185759727E-2</v>
      </c>
      <c r="BO120" s="469">
        <f t="shared" si="229"/>
        <v>44.846925093535035</v>
      </c>
      <c r="BP120" s="177">
        <f t="shared" si="230"/>
        <v>8.0000000000000019E-3</v>
      </c>
      <c r="BQ120" s="177">
        <f t="shared" si="231"/>
        <v>4.000000000000001E-3</v>
      </c>
      <c r="BR120" s="538"/>
      <c r="BT120" s="469">
        <f t="shared" si="232"/>
        <v>12.000000000000004</v>
      </c>
      <c r="BU120" s="538">
        <f t="shared" si="233"/>
        <v>8.0632420908635172E-4</v>
      </c>
      <c r="BV120" s="538">
        <f t="shared" si="234"/>
        <v>4.303286089982777E-4</v>
      </c>
      <c r="BW120" s="538">
        <f t="shared" si="235"/>
        <v>1.7930358708261572E-4</v>
      </c>
      <c r="BX120" s="538">
        <f t="shared" si="236"/>
        <v>0</v>
      </c>
      <c r="BY120" s="538">
        <f t="shared" si="180"/>
        <v>1.5860508360945377E-3</v>
      </c>
      <c r="BZ120" s="538">
        <f t="shared" si="166"/>
        <v>1.4159564051672451E-3</v>
      </c>
      <c r="CA120" s="641">
        <f t="shared" si="237"/>
        <v>1.6000000000000005E-3</v>
      </c>
      <c r="CB120" s="469">
        <f t="shared" si="238"/>
        <v>6.0179636464290285</v>
      </c>
      <c r="CC120" s="177">
        <f t="shared" si="168"/>
        <v>6.0443654021854268E-2</v>
      </c>
      <c r="CD120" s="5">
        <f t="shared" si="239"/>
        <v>0.48000000000000009</v>
      </c>
      <c r="CE120" s="177">
        <f t="shared" si="240"/>
        <v>0.88815919370678731</v>
      </c>
      <c r="CF120" s="5">
        <f t="shared" si="241"/>
        <v>88.815919370678728</v>
      </c>
      <c r="CG120">
        <f t="shared" si="242"/>
        <v>10.000000000000002</v>
      </c>
      <c r="CI120" s="571">
        <f t="shared" si="243"/>
        <v>-50</v>
      </c>
      <c r="CJ120">
        <f t="shared" si="244"/>
        <v>-50</v>
      </c>
    </row>
    <row r="121" spans="5:88" x14ac:dyDescent="0.25">
      <c r="E121" s="174">
        <v>11</v>
      </c>
      <c r="F121" s="221">
        <f t="shared" si="245"/>
        <v>2.2000000000000002E-2</v>
      </c>
      <c r="G121" s="221">
        <f t="shared" si="183"/>
        <v>1.1000000000000001E-2</v>
      </c>
      <c r="H121" s="221">
        <f t="shared" si="184"/>
        <v>0.35200000000000004</v>
      </c>
      <c r="I121" s="221">
        <f t="shared" si="185"/>
        <v>0.17600000000000002</v>
      </c>
      <c r="J121" s="551">
        <f t="shared" si="186"/>
        <v>12</v>
      </c>
      <c r="K121" s="451">
        <f t="shared" si="187"/>
        <v>19.584</v>
      </c>
      <c r="L121" s="451">
        <f t="shared" si="188"/>
        <v>31.584</v>
      </c>
      <c r="M121" s="451"/>
      <c r="N121" s="221">
        <f t="shared" si="189"/>
        <v>0.62006079027355621</v>
      </c>
      <c r="O121" s="176">
        <f t="shared" si="190"/>
        <v>3.3483282674772035</v>
      </c>
      <c r="P121" s="176">
        <f t="shared" si="191"/>
        <v>1.6741641337386017</v>
      </c>
      <c r="Q121" s="221">
        <f t="shared" si="192"/>
        <v>0.20927051671732522</v>
      </c>
      <c r="R121" s="221">
        <f t="shared" si="193"/>
        <v>0.20927051671732522</v>
      </c>
      <c r="S121" s="221">
        <f t="shared" si="194"/>
        <v>16</v>
      </c>
      <c r="T121" s="221">
        <f t="shared" si="195"/>
        <v>0.15769063180827886</v>
      </c>
      <c r="U121" s="221">
        <f t="shared" si="196"/>
        <v>0.39422657952069712</v>
      </c>
      <c r="V121" s="221">
        <f t="shared" si="197"/>
        <v>0.2415604041180742</v>
      </c>
      <c r="W121" s="201">
        <f t="shared" si="198"/>
        <v>350</v>
      </c>
      <c r="X121" s="451">
        <f t="shared" si="199"/>
        <v>350</v>
      </c>
      <c r="Z121" s="221">
        <f t="shared" si="200"/>
        <v>0.70864090316977857</v>
      </c>
      <c r="AA121" s="177">
        <f t="shared" si="201"/>
        <v>1.0855405992184108</v>
      </c>
      <c r="AB121" s="177">
        <f t="shared" si="202"/>
        <v>0.1076961858920636</v>
      </c>
      <c r="AC121" s="177"/>
      <c r="AD121" s="177">
        <f t="shared" si="203"/>
        <v>0.4595588235294118</v>
      </c>
      <c r="AE121" s="555">
        <f t="shared" si="204"/>
        <v>398.93333333333351</v>
      </c>
      <c r="AF121" s="538">
        <f t="shared" si="205"/>
        <v>1.9301470588235291E-2</v>
      </c>
      <c r="AH121" s="177">
        <f t="shared" si="206"/>
        <v>0.31712998686883676</v>
      </c>
      <c r="AI121" s="177">
        <f t="shared" si="207"/>
        <v>0.31712998686883676</v>
      </c>
      <c r="AJ121" s="177">
        <f t="shared" si="208"/>
        <v>1.2126888791621013</v>
      </c>
      <c r="AL121" s="555">
        <f t="shared" si="209"/>
        <v>22.000000000000004</v>
      </c>
      <c r="AM121" s="469">
        <f t="shared" si="210"/>
        <v>350</v>
      </c>
      <c r="AO121" s="469">
        <f t="shared" si="211"/>
        <v>22.000000000000004</v>
      </c>
      <c r="AP121" s="469">
        <f t="shared" si="212"/>
        <v>350</v>
      </c>
      <c r="AR121" s="5">
        <f t="shared" si="160"/>
        <v>2.8571428571428572</v>
      </c>
      <c r="AS121" s="5">
        <f t="shared" si="246"/>
        <v>0.79282496717209194</v>
      </c>
      <c r="AT121" s="5">
        <f t="shared" si="247"/>
        <v>2.0643178899707655</v>
      </c>
      <c r="AU121" s="177">
        <f t="shared" si="248"/>
        <v>0.27748873851023215</v>
      </c>
      <c r="AW121" s="5">
        <f t="shared" si="216"/>
        <v>0.10901343298616266</v>
      </c>
      <c r="AX121" s="5"/>
      <c r="AY121" s="5">
        <f t="shared" si="217"/>
        <v>5.4506716493081329E-2</v>
      </c>
      <c r="AZ121" s="5"/>
      <c r="BA121" s="5">
        <f t="shared" si="218"/>
        <v>4.2050919980885969E-2</v>
      </c>
      <c r="BB121" s="5"/>
      <c r="BC121" s="5"/>
      <c r="BD121" s="177">
        <f t="shared" si="219"/>
        <v>9.6449362957041915E-2</v>
      </c>
      <c r="BE121" s="177">
        <f t="shared" si="220"/>
        <v>0.12450562694815764</v>
      </c>
      <c r="BF121" s="177">
        <f t="shared" si="221"/>
        <v>6.2252813474078822E-2</v>
      </c>
      <c r="BG121" s="177"/>
      <c r="BH121" s="538">
        <f t="shared" si="222"/>
        <v>3.2558678651867226E-3</v>
      </c>
      <c r="BI121" s="538">
        <f t="shared" si="223"/>
        <v>1.7528408634214347E-2</v>
      </c>
      <c r="BJ121" s="538">
        <f t="shared" si="224"/>
        <v>4.3749999999999995E-3</v>
      </c>
      <c r="BK121" s="538">
        <f t="shared" si="225"/>
        <v>1.7457108480000001E-2</v>
      </c>
      <c r="BL121">
        <f t="shared" si="226"/>
        <v>3.48E-3</v>
      </c>
      <c r="BM121">
        <f t="shared" si="227"/>
        <v>6.1250000000000006E-6</v>
      </c>
      <c r="BN121">
        <f t="shared" si="228"/>
        <v>4.6570027111403185E-2</v>
      </c>
      <c r="BO121" s="469">
        <f t="shared" si="229"/>
        <v>46.096384979401066</v>
      </c>
      <c r="BP121" s="177">
        <f t="shared" si="230"/>
        <v>8.8000000000000005E-3</v>
      </c>
      <c r="BQ121" s="177">
        <f t="shared" si="231"/>
        <v>4.4000000000000003E-3</v>
      </c>
      <c r="BR121" s="538"/>
      <c r="BT121" s="469">
        <f t="shared" si="232"/>
        <v>13.2</v>
      </c>
      <c r="BU121" s="538">
        <f t="shared" si="233"/>
        <v>9.3024796148192092E-4</v>
      </c>
      <c r="BV121" s="538">
        <f t="shared" si="234"/>
        <v>4.6504953425261398E-4</v>
      </c>
      <c r="BW121" s="538">
        <f t="shared" si="235"/>
        <v>1.9377063927192252E-4</v>
      </c>
      <c r="BX121" s="538">
        <f t="shared" si="236"/>
        <v>0</v>
      </c>
      <c r="BY121" s="538">
        <f t="shared" si="180"/>
        <v>1.779982592296695E-3</v>
      </c>
      <c r="BZ121" s="538">
        <f t="shared" si="166"/>
        <v>1.5890681350064573E-3</v>
      </c>
      <c r="CA121" s="641">
        <f t="shared" si="237"/>
        <v>1.7600000000000003E-3</v>
      </c>
      <c r="CB121" s="469">
        <f t="shared" si="238"/>
        <v>6.71811886230961</v>
      </c>
      <c r="CC121" s="177">
        <f t="shared" si="168"/>
        <v>6.331000970369989E-2</v>
      </c>
      <c r="CD121" s="5">
        <f t="shared" si="239"/>
        <v>0.52800000000000002</v>
      </c>
      <c r="CE121" s="177">
        <f t="shared" si="240"/>
        <v>0.89293262643156679</v>
      </c>
      <c r="CF121" s="5">
        <f t="shared" si="241"/>
        <v>89.29326264315668</v>
      </c>
      <c r="CG121">
        <f t="shared" si="242"/>
        <v>11</v>
      </c>
      <c r="CI121" s="571">
        <f t="shared" si="243"/>
        <v>-50</v>
      </c>
      <c r="CJ121">
        <f t="shared" si="244"/>
        <v>-50</v>
      </c>
    </row>
    <row r="122" spans="5:88" x14ac:dyDescent="0.25">
      <c r="E122" s="174">
        <v>12</v>
      </c>
      <c r="F122" s="221">
        <f t="shared" si="245"/>
        <v>2.4E-2</v>
      </c>
      <c r="G122" s="221">
        <f t="shared" si="183"/>
        <v>1.2E-2</v>
      </c>
      <c r="H122" s="221">
        <f t="shared" si="184"/>
        <v>0.38400000000000001</v>
      </c>
      <c r="I122" s="221">
        <f t="shared" si="185"/>
        <v>0.192</v>
      </c>
      <c r="J122" s="551">
        <f t="shared" si="186"/>
        <v>12</v>
      </c>
      <c r="K122" s="451">
        <f t="shared" si="187"/>
        <v>19.584</v>
      </c>
      <c r="L122" s="451">
        <f t="shared" si="188"/>
        <v>31.584</v>
      </c>
      <c r="M122" s="451"/>
      <c r="N122" s="221">
        <f t="shared" si="189"/>
        <v>0.62006079027355621</v>
      </c>
      <c r="O122" s="176">
        <f t="shared" si="190"/>
        <v>3.3483282674772035</v>
      </c>
      <c r="P122" s="176">
        <f t="shared" si="191"/>
        <v>1.6741641337386017</v>
      </c>
      <c r="Q122" s="221">
        <f t="shared" si="192"/>
        <v>0.20927051671732522</v>
      </c>
      <c r="R122" s="221">
        <f t="shared" si="193"/>
        <v>0.20927051671732522</v>
      </c>
      <c r="S122" s="221">
        <f t="shared" si="194"/>
        <v>16</v>
      </c>
      <c r="T122" s="221">
        <f t="shared" si="195"/>
        <v>0.17202614379084968</v>
      </c>
      <c r="U122" s="221">
        <f t="shared" si="196"/>
        <v>0.43006535947712421</v>
      </c>
      <c r="V122" s="221">
        <f t="shared" si="197"/>
        <v>0.26352044085608101</v>
      </c>
      <c r="W122" s="201">
        <f t="shared" si="198"/>
        <v>350</v>
      </c>
      <c r="X122" s="451">
        <f t="shared" si="199"/>
        <v>350</v>
      </c>
      <c r="Z122" s="221">
        <f t="shared" si="200"/>
        <v>0.70864090316977857</v>
      </c>
      <c r="AA122" s="177">
        <f t="shared" si="201"/>
        <v>1.0855405992184108</v>
      </c>
      <c r="AB122" s="177">
        <f t="shared" si="202"/>
        <v>0.1076961858920636</v>
      </c>
      <c r="AC122" s="177"/>
      <c r="AD122" s="177">
        <f t="shared" si="203"/>
        <v>0.4595588235294118</v>
      </c>
      <c r="AE122" s="555">
        <f t="shared" si="204"/>
        <v>435.20000000000016</v>
      </c>
      <c r="AF122" s="538">
        <f t="shared" si="205"/>
        <v>1.9301470588235291E-2</v>
      </c>
      <c r="AH122" s="177">
        <f t="shared" si="206"/>
        <v>0.33123146848433005</v>
      </c>
      <c r="AI122" s="177">
        <f t="shared" si="207"/>
        <v>0.33123146848433005</v>
      </c>
      <c r="AJ122" s="177">
        <f t="shared" si="208"/>
        <v>1.2231344210995037</v>
      </c>
      <c r="AL122" s="555">
        <f t="shared" si="209"/>
        <v>24</v>
      </c>
      <c r="AM122" s="469">
        <f t="shared" si="210"/>
        <v>350</v>
      </c>
      <c r="AO122" s="469">
        <f t="shared" si="211"/>
        <v>24</v>
      </c>
      <c r="AP122" s="469">
        <f t="shared" si="212"/>
        <v>350</v>
      </c>
      <c r="AR122" s="5">
        <f t="shared" si="160"/>
        <v>2.8571428571428572</v>
      </c>
      <c r="AS122" s="5">
        <f t="shared" si="246"/>
        <v>0.82807867121082523</v>
      </c>
      <c r="AT122" s="5">
        <f t="shared" si="247"/>
        <v>2.029064185932032</v>
      </c>
      <c r="AU122" s="177">
        <f t="shared" si="248"/>
        <v>0.28982753492378882</v>
      </c>
      <c r="AW122" s="5">
        <f t="shared" si="216"/>
        <v>0.12421180068162378</v>
      </c>
      <c r="AX122" s="5"/>
      <c r="AY122" s="5">
        <f t="shared" si="217"/>
        <v>6.2105900340811891E-2</v>
      </c>
      <c r="AZ122" s="5"/>
      <c r="BA122" s="5">
        <f t="shared" si="218"/>
        <v>4.509031524293404E-2</v>
      </c>
      <c r="BB122" s="5"/>
      <c r="BC122" s="5"/>
      <c r="BD122" s="177">
        <f t="shared" si="219"/>
        <v>0.10295342146572188</v>
      </c>
      <c r="BE122" s="177">
        <f t="shared" si="220"/>
        <v>0.12892669937276455</v>
      </c>
      <c r="BF122" s="177">
        <f t="shared" si="221"/>
        <v>6.4463349686382274E-2</v>
      </c>
      <c r="BG122" s="177"/>
      <c r="BH122" s="538">
        <f t="shared" si="222"/>
        <v>3.7097924470244968E-3</v>
      </c>
      <c r="BI122" s="538">
        <f t="shared" si="223"/>
        <v>1.8307825726065891E-2</v>
      </c>
      <c r="BJ122" s="538">
        <f t="shared" si="224"/>
        <v>4.3749999999999995E-3</v>
      </c>
      <c r="BK122" s="538">
        <f t="shared" si="225"/>
        <v>1.7457108480000001E-2</v>
      </c>
      <c r="BL122">
        <f t="shared" si="226"/>
        <v>3.48E-3</v>
      </c>
      <c r="BM122">
        <f t="shared" si="227"/>
        <v>6.1250000000000006E-6</v>
      </c>
      <c r="BN122">
        <f t="shared" si="228"/>
        <v>4.7869438191444062E-2</v>
      </c>
      <c r="BO122" s="469">
        <f t="shared" si="229"/>
        <v>47.32972665309039</v>
      </c>
      <c r="BP122" s="177">
        <f t="shared" si="230"/>
        <v>9.6000000000000009E-3</v>
      </c>
      <c r="BQ122" s="177">
        <f t="shared" si="231"/>
        <v>4.8000000000000004E-3</v>
      </c>
      <c r="BR122" s="538"/>
      <c r="BT122" s="469">
        <f t="shared" si="232"/>
        <v>14.400000000000002</v>
      </c>
      <c r="BU122" s="538">
        <f t="shared" si="233"/>
        <v>1.0599406991498564E-3</v>
      </c>
      <c r="BV122" s="538">
        <f t="shared" si="234"/>
        <v>4.9866281433465622E-4</v>
      </c>
      <c r="BW122" s="538">
        <f t="shared" si="235"/>
        <v>2.0777617263944008E-4</v>
      </c>
      <c r="BX122" s="538">
        <f t="shared" si="236"/>
        <v>0</v>
      </c>
      <c r="BY122" s="538">
        <f t="shared" si="180"/>
        <v>1.9786248486779604E-3</v>
      </c>
      <c r="BZ122" s="538">
        <f t="shared" si="166"/>
        <v>1.7663796861239528E-3</v>
      </c>
      <c r="CA122" s="641">
        <f t="shared" si="237"/>
        <v>1.9200000000000007E-3</v>
      </c>
      <c r="CB122" s="469">
        <f t="shared" si="238"/>
        <v>7.4313842209258674</v>
      </c>
      <c r="CC122" s="177">
        <f t="shared" si="168"/>
        <v>6.616806304012203E-2</v>
      </c>
      <c r="CD122" s="5">
        <f t="shared" si="239"/>
        <v>0.57600000000000007</v>
      </c>
      <c r="CE122" s="177">
        <f t="shared" si="240"/>
        <v>0.89696145472125743</v>
      </c>
      <c r="CF122" s="5">
        <f t="shared" si="241"/>
        <v>89.69614547212575</v>
      </c>
      <c r="CG122">
        <f t="shared" si="242"/>
        <v>12</v>
      </c>
      <c r="CI122" s="571">
        <f t="shared" si="243"/>
        <v>-50</v>
      </c>
      <c r="CJ122">
        <f t="shared" si="244"/>
        <v>-50</v>
      </c>
    </row>
    <row r="123" spans="5:88" x14ac:dyDescent="0.25">
      <c r="E123" s="174">
        <v>13</v>
      </c>
      <c r="F123" s="221">
        <f t="shared" si="245"/>
        <v>2.6000000000000002E-2</v>
      </c>
      <c r="G123" s="221">
        <f t="shared" si="183"/>
        <v>1.3000000000000001E-2</v>
      </c>
      <c r="H123" s="221">
        <f t="shared" si="184"/>
        <v>0.41600000000000004</v>
      </c>
      <c r="I123" s="221">
        <f t="shared" si="185"/>
        <v>0.20800000000000002</v>
      </c>
      <c r="J123" s="551">
        <f t="shared" si="186"/>
        <v>12</v>
      </c>
      <c r="K123" s="451">
        <f t="shared" si="187"/>
        <v>19.584</v>
      </c>
      <c r="L123" s="451">
        <f t="shared" si="188"/>
        <v>31.584</v>
      </c>
      <c r="M123" s="451"/>
      <c r="N123" s="221">
        <f t="shared" si="189"/>
        <v>0.62006079027355621</v>
      </c>
      <c r="O123" s="176">
        <f t="shared" si="190"/>
        <v>3.3483282674772035</v>
      </c>
      <c r="P123" s="176">
        <f t="shared" si="191"/>
        <v>1.6741641337386017</v>
      </c>
      <c r="Q123" s="221">
        <f t="shared" si="192"/>
        <v>0.20927051671732522</v>
      </c>
      <c r="R123" s="221">
        <f t="shared" si="193"/>
        <v>0.20927051671732522</v>
      </c>
      <c r="S123" s="221">
        <f t="shared" si="194"/>
        <v>16</v>
      </c>
      <c r="T123" s="221">
        <f t="shared" si="195"/>
        <v>0.18636165577342051</v>
      </c>
      <c r="U123" s="221">
        <f t="shared" si="196"/>
        <v>0.46590413943355125</v>
      </c>
      <c r="V123" s="221">
        <f t="shared" si="197"/>
        <v>0.28548047759408779</v>
      </c>
      <c r="W123" s="201">
        <f t="shared" si="198"/>
        <v>350</v>
      </c>
      <c r="X123" s="451">
        <f t="shared" si="199"/>
        <v>350</v>
      </c>
      <c r="Z123" s="221">
        <f t="shared" si="200"/>
        <v>0.70864090316977857</v>
      </c>
      <c r="AA123" s="177">
        <f t="shared" si="201"/>
        <v>1.0855405992184108</v>
      </c>
      <c r="AB123" s="177">
        <f t="shared" si="202"/>
        <v>0.1076961858920636</v>
      </c>
      <c r="AC123" s="177"/>
      <c r="AD123" s="177">
        <f t="shared" si="203"/>
        <v>0.4595588235294118</v>
      </c>
      <c r="AE123" s="555">
        <f t="shared" si="204"/>
        <v>471.46666666666681</v>
      </c>
      <c r="AF123" s="538">
        <f t="shared" si="205"/>
        <v>1.9301470588235291E-2</v>
      </c>
      <c r="AH123" s="177">
        <f t="shared" si="206"/>
        <v>0.34475664294853386</v>
      </c>
      <c r="AI123" s="177">
        <f t="shared" si="207"/>
        <v>0.34475664294853386</v>
      </c>
      <c r="AJ123" s="177">
        <f t="shared" si="208"/>
        <v>1.2331530688507657</v>
      </c>
      <c r="AL123" s="555">
        <f t="shared" si="209"/>
        <v>26.000000000000004</v>
      </c>
      <c r="AM123" s="469">
        <f t="shared" si="210"/>
        <v>350</v>
      </c>
      <c r="AO123" s="469">
        <f t="shared" si="211"/>
        <v>26.000000000000004</v>
      </c>
      <c r="AP123" s="469">
        <f t="shared" si="212"/>
        <v>350</v>
      </c>
      <c r="AR123" s="5">
        <f t="shared" si="160"/>
        <v>2.8571428571428572</v>
      </c>
      <c r="AS123" s="5">
        <f t="shared" si="246"/>
        <v>0.86189160737133463</v>
      </c>
      <c r="AT123" s="5">
        <f t="shared" si="247"/>
        <v>1.9952512497715227</v>
      </c>
      <c r="AU123" s="177">
        <f t="shared" si="248"/>
        <v>0.30166206257996714</v>
      </c>
      <c r="AW123" s="5">
        <f t="shared" si="216"/>
        <v>0.14005738619784189</v>
      </c>
      <c r="AX123" s="5"/>
      <c r="AY123" s="5">
        <f t="shared" si="217"/>
        <v>7.0028693098920944E-2</v>
      </c>
      <c r="AZ123" s="5"/>
      <c r="BA123" s="5">
        <f t="shared" si="218"/>
        <v>4.803382638338851E-2</v>
      </c>
      <c r="BB123" s="5"/>
      <c r="BC123" s="5"/>
      <c r="BD123" s="177">
        <f t="shared" si="219"/>
        <v>0.10932320715299128</v>
      </c>
      <c r="BE123" s="177">
        <f t="shared" si="220"/>
        <v>0.13306836497820335</v>
      </c>
      <c r="BF123" s="177">
        <f t="shared" si="221"/>
        <v>6.6534182489101673E-2</v>
      </c>
      <c r="BG123" s="177"/>
      <c r="BH123" s="538">
        <f t="shared" si="222"/>
        <v>4.1830472677755444E-3</v>
      </c>
      <c r="BI123" s="538">
        <f t="shared" si="223"/>
        <v>1.9055389169051362E-2</v>
      </c>
      <c r="BJ123" s="538">
        <f t="shared" si="224"/>
        <v>4.3749999999999995E-3</v>
      </c>
      <c r="BK123" s="538">
        <f t="shared" si="225"/>
        <v>1.7457108480000001E-2</v>
      </c>
      <c r="BL123">
        <f t="shared" si="226"/>
        <v>3.48E-3</v>
      </c>
      <c r="BM123">
        <f t="shared" si="227"/>
        <v>6.1250000000000006E-6</v>
      </c>
      <c r="BN123">
        <f t="shared" si="228"/>
        <v>4.915932109639734E-2</v>
      </c>
      <c r="BO123" s="469">
        <f t="shared" si="229"/>
        <v>48.550544916826908</v>
      </c>
      <c r="BP123" s="177">
        <f t="shared" si="230"/>
        <v>1.0400000000000001E-2</v>
      </c>
      <c r="BQ123" s="177">
        <f t="shared" si="231"/>
        <v>5.2000000000000006E-3</v>
      </c>
      <c r="BR123" s="538"/>
      <c r="BT123" s="469">
        <f t="shared" si="232"/>
        <v>15.600000000000003</v>
      </c>
      <c r="BU123" s="538">
        <f t="shared" si="233"/>
        <v>1.1951563622215845E-3</v>
      </c>
      <c r="BV123" s="538">
        <f t="shared" si="234"/>
        <v>5.3121569273917009E-4</v>
      </c>
      <c r="BW123" s="538">
        <f t="shared" si="235"/>
        <v>2.2133987197465421E-4</v>
      </c>
      <c r="BX123" s="538">
        <f t="shared" si="236"/>
        <v>0</v>
      </c>
      <c r="BY123" s="538">
        <f t="shared" si="180"/>
        <v>2.181777316063691E-3</v>
      </c>
      <c r="BZ123" s="538">
        <f t="shared" si="166"/>
        <v>1.9477119269354088E-3</v>
      </c>
      <c r="CA123" s="641">
        <f t="shared" si="237"/>
        <v>2.0800000000000003E-3</v>
      </c>
      <c r="CB123" s="469">
        <f t="shared" si="238"/>
        <v>8.1572011699345097</v>
      </c>
      <c r="CC123" s="177">
        <f t="shared" si="168"/>
        <v>6.9021098412461027E-2</v>
      </c>
      <c r="CD123" s="5">
        <f t="shared" si="239"/>
        <v>0.62400000000000011</v>
      </c>
      <c r="CE123" s="177">
        <f t="shared" si="240"/>
        <v>0.90040548755215211</v>
      </c>
      <c r="CF123" s="5">
        <f t="shared" si="241"/>
        <v>90.040548755215212</v>
      </c>
      <c r="CG123">
        <f t="shared" si="242"/>
        <v>13</v>
      </c>
      <c r="CI123" s="571">
        <f t="shared" si="243"/>
        <v>-50</v>
      </c>
      <c r="CJ123">
        <f t="shared" si="244"/>
        <v>-50</v>
      </c>
    </row>
    <row r="124" spans="5:88" x14ac:dyDescent="0.25">
      <c r="E124" s="174">
        <v>14</v>
      </c>
      <c r="F124" s="221">
        <f t="shared" si="245"/>
        <v>2.8000000000000004E-2</v>
      </c>
      <c r="G124" s="221">
        <f t="shared" si="183"/>
        <v>1.4000000000000002E-2</v>
      </c>
      <c r="H124" s="221">
        <f t="shared" si="184"/>
        <v>0.44800000000000006</v>
      </c>
      <c r="I124" s="221">
        <f t="shared" si="185"/>
        <v>0.22400000000000003</v>
      </c>
      <c r="J124" s="551">
        <f t="shared" si="186"/>
        <v>12</v>
      </c>
      <c r="K124" s="451">
        <f t="shared" si="187"/>
        <v>19.584</v>
      </c>
      <c r="L124" s="451">
        <f t="shared" si="188"/>
        <v>31.584</v>
      </c>
      <c r="M124" s="451"/>
      <c r="N124" s="221">
        <f t="shared" si="189"/>
        <v>0.62006079027355621</v>
      </c>
      <c r="O124" s="176">
        <f t="shared" si="190"/>
        <v>3.3483282674772035</v>
      </c>
      <c r="P124" s="176">
        <f t="shared" si="191"/>
        <v>1.6741641337386017</v>
      </c>
      <c r="Q124" s="221">
        <f t="shared" si="192"/>
        <v>0.20927051671732522</v>
      </c>
      <c r="R124" s="221">
        <f t="shared" si="193"/>
        <v>0.20927051671732522</v>
      </c>
      <c r="S124" s="221">
        <f t="shared" si="194"/>
        <v>16</v>
      </c>
      <c r="T124" s="221">
        <f t="shared" si="195"/>
        <v>0.20069716775599131</v>
      </c>
      <c r="U124" s="221">
        <f t="shared" si="196"/>
        <v>0.50174291938997828</v>
      </c>
      <c r="V124" s="221">
        <f t="shared" si="197"/>
        <v>0.30744051433209452</v>
      </c>
      <c r="W124" s="201">
        <f t="shared" si="198"/>
        <v>350</v>
      </c>
      <c r="X124" s="451">
        <f t="shared" si="199"/>
        <v>350</v>
      </c>
      <c r="Z124" s="221">
        <f t="shared" si="200"/>
        <v>0.70864090316977857</v>
      </c>
      <c r="AA124" s="177">
        <f t="shared" si="201"/>
        <v>1.0855405992184108</v>
      </c>
      <c r="AB124" s="177">
        <f t="shared" si="202"/>
        <v>0.1076961858920636</v>
      </c>
      <c r="AC124" s="177"/>
      <c r="AD124" s="177">
        <f t="shared" si="203"/>
        <v>0.4595588235294118</v>
      </c>
      <c r="AE124" s="555">
        <f t="shared" si="204"/>
        <v>507.73333333333352</v>
      </c>
      <c r="AF124" s="538">
        <f t="shared" si="205"/>
        <v>1.9301470588235291E-2</v>
      </c>
      <c r="AH124" s="177">
        <f t="shared" si="206"/>
        <v>0.35777087639996641</v>
      </c>
      <c r="AI124" s="177">
        <f t="shared" si="207"/>
        <v>0.35777087639996641</v>
      </c>
      <c r="AJ124" s="177">
        <f t="shared" si="208"/>
        <v>1.2427932417777527</v>
      </c>
      <c r="AL124" s="555">
        <f t="shared" si="209"/>
        <v>28.000000000000004</v>
      </c>
      <c r="AM124" s="469">
        <f t="shared" si="210"/>
        <v>350</v>
      </c>
      <c r="AO124" s="469">
        <f t="shared" si="211"/>
        <v>28.000000000000004</v>
      </c>
      <c r="AP124" s="469">
        <f t="shared" si="212"/>
        <v>350</v>
      </c>
      <c r="AR124" s="5">
        <f t="shared" si="160"/>
        <v>2.8571428571428572</v>
      </c>
      <c r="AS124" s="5">
        <f t="shared" si="246"/>
        <v>0.89442719099991608</v>
      </c>
      <c r="AT124" s="5">
        <f t="shared" si="247"/>
        <v>1.962715666142941</v>
      </c>
      <c r="AU124" s="177">
        <f t="shared" si="248"/>
        <v>0.31304951684997062</v>
      </c>
      <c r="AW124" s="5">
        <f t="shared" si="216"/>
        <v>0.15652475842498534</v>
      </c>
      <c r="AX124" s="5"/>
      <c r="AY124" s="5">
        <f t="shared" si="217"/>
        <v>7.8262379212492669E-2</v>
      </c>
      <c r="AZ124" s="5"/>
      <c r="BA124" s="5">
        <f t="shared" si="218"/>
        <v>5.0885220974076252E-2</v>
      </c>
      <c r="BB124" s="5"/>
      <c r="BC124" s="5"/>
      <c r="BD124" s="177">
        <f t="shared" si="219"/>
        <v>0.1155715336300369</v>
      </c>
      <c r="BE124" s="177">
        <f t="shared" si="220"/>
        <v>0.1369610450452371</v>
      </c>
      <c r="BF124" s="177">
        <f t="shared" si="221"/>
        <v>6.8480522522618548E-2</v>
      </c>
      <c r="BG124" s="177"/>
      <c r="BH124" s="538">
        <f t="shared" si="222"/>
        <v>4.6748727849595618E-3</v>
      </c>
      <c r="BI124" s="538">
        <f t="shared" si="223"/>
        <v>1.9774711880378944E-2</v>
      </c>
      <c r="BJ124" s="538">
        <f t="shared" si="224"/>
        <v>4.3749999999999995E-3</v>
      </c>
      <c r="BK124" s="538">
        <f t="shared" si="225"/>
        <v>1.7457108480000001E-2</v>
      </c>
      <c r="BL124">
        <f t="shared" si="226"/>
        <v>3.48E-3</v>
      </c>
      <c r="BM124">
        <f t="shared" si="227"/>
        <v>6.1250000000000006E-6</v>
      </c>
      <c r="BN124">
        <f t="shared" si="228"/>
        <v>5.04424332776581E-2</v>
      </c>
      <c r="BO124" s="469">
        <f t="shared" si="229"/>
        <v>49.761693145338498</v>
      </c>
      <c r="BP124" s="177">
        <f t="shared" si="230"/>
        <v>1.1200000000000002E-2</v>
      </c>
      <c r="BQ124" s="177">
        <f t="shared" si="231"/>
        <v>5.6000000000000008E-3</v>
      </c>
      <c r="BR124" s="538"/>
      <c r="BT124" s="469">
        <f t="shared" si="232"/>
        <v>16.8</v>
      </c>
      <c r="BU124" s="538">
        <f t="shared" si="233"/>
        <v>1.3356779385598752E-3</v>
      </c>
      <c r="BV124" s="538">
        <f t="shared" si="234"/>
        <v>5.6274983579650392E-4</v>
      </c>
      <c r="BW124" s="538">
        <f t="shared" si="235"/>
        <v>2.3447909824854331E-4</v>
      </c>
      <c r="BX124" s="538">
        <f t="shared" si="236"/>
        <v>0</v>
      </c>
      <c r="BY124" s="538">
        <f t="shared" si="180"/>
        <v>2.3892633834207908E-3</v>
      </c>
      <c r="BZ124" s="538">
        <f t="shared" si="166"/>
        <v>2.1329068726049227E-3</v>
      </c>
      <c r="CA124" s="641">
        <f t="shared" si="237"/>
        <v>2.2400000000000007E-3</v>
      </c>
      <c r="CB124" s="469">
        <f t="shared" si="238"/>
        <v>8.8950771286306374</v>
      </c>
      <c r="CC124" s="177">
        <f t="shared" si="168"/>
        <v>7.1871696661078913E-2</v>
      </c>
      <c r="CD124" s="5">
        <f t="shared" si="239"/>
        <v>0.67200000000000015</v>
      </c>
      <c r="CE124" s="177">
        <f t="shared" si="240"/>
        <v>0.90338159526208595</v>
      </c>
      <c r="CF124" s="5">
        <f t="shared" si="241"/>
        <v>90.338159526208599</v>
      </c>
      <c r="CG124">
        <f t="shared" si="242"/>
        <v>14.000000000000002</v>
      </c>
      <c r="CI124" s="571">
        <f t="shared" si="243"/>
        <v>-50</v>
      </c>
      <c r="CJ124">
        <f t="shared" si="244"/>
        <v>-50</v>
      </c>
    </row>
    <row r="125" spans="5:88" x14ac:dyDescent="0.25">
      <c r="E125" s="174">
        <v>15</v>
      </c>
      <c r="F125" s="221">
        <f t="shared" si="245"/>
        <v>0.03</v>
      </c>
      <c r="G125" s="221">
        <f t="shared" si="183"/>
        <v>1.4999999999999999E-2</v>
      </c>
      <c r="H125" s="221">
        <f t="shared" si="184"/>
        <v>0.48</v>
      </c>
      <c r="I125" s="221">
        <f t="shared" si="185"/>
        <v>0.24</v>
      </c>
      <c r="J125" s="551">
        <f t="shared" si="186"/>
        <v>12</v>
      </c>
      <c r="K125" s="451">
        <f t="shared" si="187"/>
        <v>19.584</v>
      </c>
      <c r="L125" s="451">
        <f t="shared" si="188"/>
        <v>31.584</v>
      </c>
      <c r="M125" s="451"/>
      <c r="N125" s="221">
        <f t="shared" si="189"/>
        <v>0.62006079027355621</v>
      </c>
      <c r="O125" s="176">
        <f t="shared" si="190"/>
        <v>3.3483282674772035</v>
      </c>
      <c r="P125" s="176">
        <f t="shared" si="191"/>
        <v>1.6741641337386017</v>
      </c>
      <c r="Q125" s="221">
        <f t="shared" si="192"/>
        <v>0.20927051671732522</v>
      </c>
      <c r="R125" s="221">
        <f t="shared" si="193"/>
        <v>0.20927051671732522</v>
      </c>
      <c r="S125" s="221">
        <f t="shared" si="194"/>
        <v>16</v>
      </c>
      <c r="T125" s="221">
        <f t="shared" si="195"/>
        <v>0.21503267973856208</v>
      </c>
      <c r="U125" s="221">
        <f t="shared" si="196"/>
        <v>0.53758169934640521</v>
      </c>
      <c r="V125" s="221">
        <f t="shared" si="197"/>
        <v>0.32940055107010124</v>
      </c>
      <c r="W125" s="201">
        <f t="shared" si="198"/>
        <v>350</v>
      </c>
      <c r="X125" s="451">
        <f t="shared" si="199"/>
        <v>350</v>
      </c>
      <c r="Z125" s="221">
        <f t="shared" si="200"/>
        <v>0.70864090316977857</v>
      </c>
      <c r="AA125" s="177">
        <f t="shared" si="201"/>
        <v>1.0855405992184108</v>
      </c>
      <c r="AB125" s="177">
        <f t="shared" si="202"/>
        <v>0.1076961858920636</v>
      </c>
      <c r="AC125" s="177"/>
      <c r="AD125" s="177">
        <f t="shared" si="203"/>
        <v>0.4595588235294118</v>
      </c>
      <c r="AE125" s="555">
        <f t="shared" si="204"/>
        <v>544.00000000000011</v>
      </c>
      <c r="AF125" s="538">
        <f t="shared" si="205"/>
        <v>1.9301470588235291E-2</v>
      </c>
      <c r="AH125" s="177">
        <f t="shared" si="206"/>
        <v>0.37032803990902058</v>
      </c>
      <c r="AI125" s="177">
        <f t="shared" si="207"/>
        <v>0.37032803990902058</v>
      </c>
      <c r="AJ125" s="177">
        <f t="shared" si="208"/>
        <v>1.2520948443770523</v>
      </c>
      <c r="AL125" s="555">
        <f t="shared" si="209"/>
        <v>30</v>
      </c>
      <c r="AM125" s="469">
        <f t="shared" si="210"/>
        <v>350</v>
      </c>
      <c r="AO125" s="469">
        <f t="shared" si="211"/>
        <v>30</v>
      </c>
      <c r="AP125" s="469">
        <f t="shared" si="212"/>
        <v>350</v>
      </c>
      <c r="AR125" s="5">
        <f t="shared" si="160"/>
        <v>2.8571428571428572</v>
      </c>
      <c r="AS125" s="5">
        <f t="shared" si="246"/>
        <v>0.92582009977255153</v>
      </c>
      <c r="AT125" s="5">
        <f t="shared" si="247"/>
        <v>1.9313227573703058</v>
      </c>
      <c r="AU125" s="177">
        <f t="shared" si="248"/>
        <v>0.32403703492039304</v>
      </c>
      <c r="AW125" s="5">
        <f t="shared" si="216"/>
        <v>0.17359126870735339</v>
      </c>
      <c r="AX125" s="5"/>
      <c r="AY125" s="5">
        <f t="shared" si="217"/>
        <v>8.6795634353676696E-2</v>
      </c>
      <c r="AZ125" s="5"/>
      <c r="BA125" s="5">
        <f t="shared" si="218"/>
        <v>5.3647854371397387E-2</v>
      </c>
      <c r="BB125" s="5"/>
      <c r="BC125" s="5"/>
      <c r="BD125" s="177">
        <f t="shared" si="219"/>
        <v>0.12170916808671739</v>
      </c>
      <c r="BE125" s="177">
        <f t="shared" si="220"/>
        <v>0.14062981559922463</v>
      </c>
      <c r="BF125" s="177">
        <f t="shared" si="221"/>
        <v>7.0314907799612317E-2</v>
      </c>
      <c r="BG125" s="177"/>
      <c r="BH125" s="538">
        <f t="shared" si="222"/>
        <v>5.1845925587262892E-3</v>
      </c>
      <c r="BI125" s="538">
        <f t="shared" si="223"/>
        <v>2.0468771421851384E-2</v>
      </c>
      <c r="BJ125" s="538">
        <f t="shared" si="224"/>
        <v>4.3749999999999995E-3</v>
      </c>
      <c r="BK125" s="538">
        <f t="shared" si="225"/>
        <v>1.7457108480000001E-2</v>
      </c>
      <c r="BL125">
        <f t="shared" si="226"/>
        <v>3.48E-3</v>
      </c>
      <c r="BM125">
        <f t="shared" si="227"/>
        <v>6.1250000000000006E-6</v>
      </c>
      <c r="BN125">
        <f t="shared" si="228"/>
        <v>5.1720991549436435E-2</v>
      </c>
      <c r="BO125" s="469">
        <f t="shared" si="229"/>
        <v>50.965472460577672</v>
      </c>
      <c r="BP125" s="177">
        <f t="shared" si="230"/>
        <v>1.2E-2</v>
      </c>
      <c r="BQ125" s="177">
        <f t="shared" si="231"/>
        <v>6.0000000000000001E-3</v>
      </c>
      <c r="BR125" s="538"/>
      <c r="BT125" s="469">
        <f t="shared" si="232"/>
        <v>18.000000000000004</v>
      </c>
      <c r="BU125" s="538">
        <f t="shared" si="233"/>
        <v>1.4813121596360828E-3</v>
      </c>
      <c r="BV125" s="538">
        <f t="shared" si="234"/>
        <v>5.9330235106415765E-4</v>
      </c>
      <c r="BW125" s="538">
        <f t="shared" si="235"/>
        <v>2.4720931294339903E-4</v>
      </c>
      <c r="BX125" s="538">
        <f t="shared" si="236"/>
        <v>0</v>
      </c>
      <c r="BY125" s="538">
        <f t="shared" si="180"/>
        <v>2.6009257937986024E-3</v>
      </c>
      <c r="BZ125" s="538">
        <f t="shared" si="166"/>
        <v>2.3218238236436396E-3</v>
      </c>
      <c r="CA125" s="641">
        <f t="shared" si="237"/>
        <v>2.4000000000000002E-3</v>
      </c>
      <c r="CB125" s="469">
        <f t="shared" si="238"/>
        <v>9.6445734410858837</v>
      </c>
      <c r="CC125" s="177">
        <f t="shared" si="168"/>
        <v>7.4721917343235036E-2</v>
      </c>
      <c r="CD125" s="5">
        <f t="shared" si="239"/>
        <v>0.72</v>
      </c>
      <c r="CE125" s="177">
        <f t="shared" si="240"/>
        <v>0.90597727870267963</v>
      </c>
      <c r="CF125" s="5">
        <f t="shared" si="241"/>
        <v>90.59772787026796</v>
      </c>
      <c r="CG125">
        <f t="shared" si="242"/>
        <v>15</v>
      </c>
      <c r="CI125" s="571">
        <f t="shared" si="243"/>
        <v>-50</v>
      </c>
      <c r="CJ125">
        <f t="shared" si="244"/>
        <v>-50</v>
      </c>
    </row>
    <row r="126" spans="5:88" x14ac:dyDescent="0.25">
      <c r="E126" s="174">
        <v>16</v>
      </c>
      <c r="F126" s="221">
        <f t="shared" si="245"/>
        <v>3.2000000000000001E-2</v>
      </c>
      <c r="G126" s="221">
        <f t="shared" si="183"/>
        <v>1.6E-2</v>
      </c>
      <c r="H126" s="221">
        <f t="shared" si="184"/>
        <v>0.51200000000000001</v>
      </c>
      <c r="I126" s="221">
        <f t="shared" si="185"/>
        <v>0.25600000000000001</v>
      </c>
      <c r="J126" s="551">
        <f t="shared" si="186"/>
        <v>12</v>
      </c>
      <c r="K126" s="451">
        <f t="shared" si="187"/>
        <v>19.584</v>
      </c>
      <c r="L126" s="451">
        <f t="shared" si="188"/>
        <v>31.584</v>
      </c>
      <c r="M126" s="451"/>
      <c r="N126" s="221">
        <f t="shared" si="189"/>
        <v>0.62006079027355621</v>
      </c>
      <c r="O126" s="176">
        <f t="shared" si="190"/>
        <v>3.3483282674772035</v>
      </c>
      <c r="P126" s="176">
        <f t="shared" si="191"/>
        <v>1.6741641337386017</v>
      </c>
      <c r="Q126" s="221">
        <f t="shared" si="192"/>
        <v>0.20927051671732522</v>
      </c>
      <c r="R126" s="221">
        <f t="shared" si="193"/>
        <v>0.20927051671732522</v>
      </c>
      <c r="S126" s="221">
        <f t="shared" si="194"/>
        <v>16</v>
      </c>
      <c r="T126" s="221">
        <f t="shared" si="195"/>
        <v>0.22936819172113287</v>
      </c>
      <c r="U126" s="221">
        <f t="shared" si="196"/>
        <v>0.57342047930283224</v>
      </c>
      <c r="V126" s="221">
        <f t="shared" si="197"/>
        <v>0.35136058780810797</v>
      </c>
      <c r="W126" s="201">
        <f t="shared" si="198"/>
        <v>350</v>
      </c>
      <c r="X126" s="451">
        <f t="shared" si="199"/>
        <v>350</v>
      </c>
      <c r="Z126" s="221">
        <f t="shared" si="200"/>
        <v>0.70864090316977857</v>
      </c>
      <c r="AA126" s="177">
        <f t="shared" si="201"/>
        <v>1.0855405992184108</v>
      </c>
      <c r="AB126" s="177">
        <f t="shared" si="202"/>
        <v>0.1076961858920636</v>
      </c>
      <c r="AC126" s="177"/>
      <c r="AD126" s="177">
        <f t="shared" si="203"/>
        <v>0.4595588235294118</v>
      </c>
      <c r="AE126" s="555">
        <f t="shared" si="204"/>
        <v>580.26666666666677</v>
      </c>
      <c r="AF126" s="538">
        <f t="shared" si="205"/>
        <v>1.9301470588235291E-2</v>
      </c>
      <c r="AH126" s="177">
        <f t="shared" si="206"/>
        <v>0.38247315498700596</v>
      </c>
      <c r="AI126" s="177">
        <f t="shared" si="207"/>
        <v>0.38247315498700596</v>
      </c>
      <c r="AJ126" s="177">
        <f t="shared" si="208"/>
        <v>1.2610912259163007</v>
      </c>
      <c r="AL126" s="555">
        <f t="shared" si="209"/>
        <v>32</v>
      </c>
      <c r="AM126" s="469">
        <f t="shared" si="210"/>
        <v>350</v>
      </c>
      <c r="AO126" s="469">
        <f t="shared" si="211"/>
        <v>32</v>
      </c>
      <c r="AP126" s="469">
        <f t="shared" si="212"/>
        <v>350</v>
      </c>
      <c r="AR126" s="5">
        <f t="shared" si="160"/>
        <v>2.8571428571428572</v>
      </c>
      <c r="AS126" s="5">
        <f t="shared" si="246"/>
        <v>0.9561828874675149</v>
      </c>
      <c r="AT126" s="5">
        <f t="shared" si="247"/>
        <v>1.9009599696753423</v>
      </c>
      <c r="AU126" s="177">
        <f t="shared" si="248"/>
        <v>0.33466401061363021</v>
      </c>
      <c r="AW126" s="5">
        <f t="shared" si="216"/>
        <v>0.19123657749350298</v>
      </c>
      <c r="AX126" s="5"/>
      <c r="AY126" s="5">
        <f t="shared" si="217"/>
        <v>9.561828874675149E-2</v>
      </c>
      <c r="AZ126" s="5"/>
      <c r="BA126" s="5">
        <f t="shared" si="218"/>
        <v>5.6324739842232366E-2</v>
      </c>
      <c r="BB126" s="5"/>
      <c r="BC126" s="5"/>
      <c r="BD126" s="177">
        <f t="shared" si="219"/>
        <v>0.12774527236958289</v>
      </c>
      <c r="BE126" s="177">
        <f t="shared" si="220"/>
        <v>0.14409563524076824</v>
      </c>
      <c r="BF126" s="177">
        <f t="shared" si="221"/>
        <v>7.2047817620384119E-2</v>
      </c>
      <c r="BG126" s="177"/>
      <c r="BH126" s="538">
        <f t="shared" si="222"/>
        <v>5.7115991144726201E-3</v>
      </c>
      <c r="BI126" s="538">
        <f t="shared" si="223"/>
        <v>2.1140056222441792E-2</v>
      </c>
      <c r="BJ126" s="538">
        <f t="shared" si="224"/>
        <v>4.3749999999999995E-3</v>
      </c>
      <c r="BK126" s="538">
        <f t="shared" si="225"/>
        <v>1.7457108480000001E-2</v>
      </c>
      <c r="BL126">
        <f t="shared" si="226"/>
        <v>3.48E-3</v>
      </c>
      <c r="BM126">
        <f t="shared" si="227"/>
        <v>6.1250000000000006E-6</v>
      </c>
      <c r="BN126">
        <f t="shared" si="228"/>
        <v>5.2996802199498781E-2</v>
      </c>
      <c r="BO126" s="469">
        <f t="shared" si="229"/>
        <v>52.163763816914411</v>
      </c>
      <c r="BP126" s="177">
        <f t="shared" si="230"/>
        <v>1.2800000000000001E-2</v>
      </c>
      <c r="BQ126" s="177">
        <f t="shared" si="231"/>
        <v>6.4000000000000003E-3</v>
      </c>
      <c r="BR126" s="538"/>
      <c r="BT126" s="469">
        <f t="shared" si="232"/>
        <v>19.200000000000003</v>
      </c>
      <c r="BU126" s="538">
        <f t="shared" si="233"/>
        <v>1.6318854612778916E-3</v>
      </c>
      <c r="BV126" s="538">
        <f t="shared" si="234"/>
        <v>6.2290656286321578E-4</v>
      </c>
      <c r="BW126" s="538">
        <f t="shared" si="235"/>
        <v>2.5954440119300661E-4</v>
      </c>
      <c r="BX126" s="538">
        <f t="shared" si="236"/>
        <v>0</v>
      </c>
      <c r="BY126" s="538">
        <f t="shared" si="180"/>
        <v>2.8166233514693318E-3</v>
      </c>
      <c r="BZ126" s="538">
        <f t="shared" si="166"/>
        <v>2.5143364253341141E-3</v>
      </c>
      <c r="CA126" s="641">
        <f t="shared" si="237"/>
        <v>2.5600000000000002E-3</v>
      </c>
      <c r="CB126" s="469">
        <f t="shared" si="238"/>
        <v>10.40529620213756</v>
      </c>
      <c r="CC126" s="177">
        <f t="shared" si="168"/>
        <v>7.757342555096812E-2</v>
      </c>
      <c r="CD126" s="5">
        <f t="shared" si="239"/>
        <v>0.76800000000000002</v>
      </c>
      <c r="CE126" s="177">
        <f t="shared" si="240"/>
        <v>0.90825938563475783</v>
      </c>
      <c r="CF126" s="5">
        <f t="shared" si="241"/>
        <v>90.825938563475788</v>
      </c>
      <c r="CG126">
        <f t="shared" si="242"/>
        <v>16</v>
      </c>
      <c r="CI126" s="571">
        <f t="shared" si="243"/>
        <v>-50</v>
      </c>
      <c r="CJ126">
        <f t="shared" si="244"/>
        <v>-50</v>
      </c>
    </row>
    <row r="127" spans="5:88" x14ac:dyDescent="0.25">
      <c r="E127" s="174">
        <v>17</v>
      </c>
      <c r="F127" s="221">
        <f t="shared" si="245"/>
        <v>3.4000000000000002E-2</v>
      </c>
      <c r="G127" s="221">
        <f t="shared" si="183"/>
        <v>1.7000000000000001E-2</v>
      </c>
      <c r="H127" s="221">
        <f t="shared" si="184"/>
        <v>0.54400000000000004</v>
      </c>
      <c r="I127" s="221">
        <f t="shared" si="185"/>
        <v>0.27200000000000002</v>
      </c>
      <c r="J127" s="551">
        <f t="shared" si="186"/>
        <v>12</v>
      </c>
      <c r="K127" s="451">
        <f t="shared" si="187"/>
        <v>19.584</v>
      </c>
      <c r="L127" s="451">
        <f t="shared" si="188"/>
        <v>31.584</v>
      </c>
      <c r="M127" s="451"/>
      <c r="N127" s="221">
        <f t="shared" si="189"/>
        <v>0.62006079027355621</v>
      </c>
      <c r="O127" s="176">
        <f t="shared" si="190"/>
        <v>3.3483282674772035</v>
      </c>
      <c r="P127" s="176">
        <f t="shared" si="191"/>
        <v>1.6741641337386017</v>
      </c>
      <c r="Q127" s="221">
        <f t="shared" si="192"/>
        <v>0.20927051671732522</v>
      </c>
      <c r="R127" s="221">
        <f t="shared" si="193"/>
        <v>0.20927051671732522</v>
      </c>
      <c r="S127" s="221">
        <f t="shared" si="194"/>
        <v>16</v>
      </c>
      <c r="T127" s="221">
        <f t="shared" si="195"/>
        <v>0.2437037037037037</v>
      </c>
      <c r="U127" s="221">
        <f t="shared" si="196"/>
        <v>0.60925925925925928</v>
      </c>
      <c r="V127" s="221">
        <f t="shared" si="197"/>
        <v>0.37332062454611475</v>
      </c>
      <c r="W127" s="201">
        <f t="shared" si="198"/>
        <v>350</v>
      </c>
      <c r="X127" s="451">
        <f t="shared" si="199"/>
        <v>350</v>
      </c>
      <c r="Z127" s="221">
        <f t="shared" si="200"/>
        <v>0.70864090316977857</v>
      </c>
      <c r="AA127" s="177">
        <f t="shared" si="201"/>
        <v>1.0855405992184108</v>
      </c>
      <c r="AB127" s="177">
        <f t="shared" si="202"/>
        <v>0.1076961858920636</v>
      </c>
      <c r="AC127" s="177"/>
      <c r="AD127" s="177">
        <f t="shared" si="203"/>
        <v>0.4595588235294118</v>
      </c>
      <c r="AE127" s="555">
        <f t="shared" si="204"/>
        <v>616.53333333333342</v>
      </c>
      <c r="AF127" s="538">
        <f t="shared" si="205"/>
        <v>1.9301470588235291E-2</v>
      </c>
      <c r="AH127" s="177">
        <f t="shared" si="206"/>
        <v>0.39424430424366491</v>
      </c>
      <c r="AI127" s="177">
        <f t="shared" si="207"/>
        <v>0.39424430424366491</v>
      </c>
      <c r="AJ127" s="177">
        <f t="shared" si="208"/>
        <v>1.2698105957360482</v>
      </c>
      <c r="AL127" s="555">
        <f t="shared" si="209"/>
        <v>34</v>
      </c>
      <c r="AM127" s="469">
        <f t="shared" si="210"/>
        <v>350</v>
      </c>
      <c r="AO127" s="469">
        <f t="shared" si="211"/>
        <v>34</v>
      </c>
      <c r="AP127" s="469">
        <f t="shared" si="212"/>
        <v>350</v>
      </c>
      <c r="AR127" s="5">
        <f t="shared" si="160"/>
        <v>2.8571428571428572</v>
      </c>
      <c r="AS127" s="5">
        <f t="shared" si="246"/>
        <v>0.9856107606091622</v>
      </c>
      <c r="AT127" s="5">
        <f t="shared" si="247"/>
        <v>1.871532096533695</v>
      </c>
      <c r="AU127" s="177">
        <f t="shared" si="248"/>
        <v>0.34496376621320674</v>
      </c>
      <c r="AW127" s="5">
        <f t="shared" si="216"/>
        <v>0.20944228662944697</v>
      </c>
      <c r="AX127" s="5"/>
      <c r="AY127" s="5">
        <f t="shared" si="217"/>
        <v>0.10472114331472349</v>
      </c>
      <c r="AZ127" s="5"/>
      <c r="BA127" s="5">
        <f t="shared" si="218"/>
        <v>5.8918603039023729E-2</v>
      </c>
      <c r="BB127" s="5"/>
      <c r="BC127" s="5"/>
      <c r="BD127" s="177">
        <f t="shared" si="219"/>
        <v>0.13368772740624377</v>
      </c>
      <c r="BE127" s="177">
        <f t="shared" si="220"/>
        <v>0.14737623222319701</v>
      </c>
      <c r="BF127" s="177">
        <f t="shared" si="221"/>
        <v>7.3688116111598506E-2</v>
      </c>
      <c r="BG127" s="177"/>
      <c r="BH127" s="538">
        <f t="shared" si="222"/>
        <v>6.2553429606661487E-3</v>
      </c>
      <c r="BI127" s="538">
        <f t="shared" si="223"/>
        <v>2.1790671184155844E-2</v>
      </c>
      <c r="BJ127" s="538">
        <f t="shared" si="224"/>
        <v>4.3749999999999995E-3</v>
      </c>
      <c r="BK127" s="538">
        <f t="shared" si="225"/>
        <v>1.7457108480000001E-2</v>
      </c>
      <c r="BL127">
        <f t="shared" si="226"/>
        <v>3.48E-3</v>
      </c>
      <c r="BM127">
        <f t="shared" si="227"/>
        <v>6.1250000000000006E-6</v>
      </c>
      <c r="BN127">
        <f t="shared" si="228"/>
        <v>5.4271354079095904E-2</v>
      </c>
      <c r="BO127" s="469">
        <f t="shared" si="229"/>
        <v>53.358122624821995</v>
      </c>
      <c r="BP127" s="177">
        <f t="shared" si="230"/>
        <v>1.3600000000000001E-2</v>
      </c>
      <c r="BQ127" s="177">
        <f t="shared" si="231"/>
        <v>6.8000000000000005E-3</v>
      </c>
      <c r="BR127" s="538"/>
      <c r="BT127" s="469">
        <f t="shared" si="232"/>
        <v>20.400000000000002</v>
      </c>
      <c r="BU127" s="538">
        <f t="shared" si="233"/>
        <v>1.7872408459046142E-3</v>
      </c>
      <c r="BV127" s="538">
        <f t="shared" si="234"/>
        <v>6.5159261472917077E-4</v>
      </c>
      <c r="BW127" s="538">
        <f t="shared" si="235"/>
        <v>2.7149692280382118E-4</v>
      </c>
      <c r="BX127" s="538">
        <f t="shared" si="236"/>
        <v>0</v>
      </c>
      <c r="BY127" s="538">
        <f t="shared" si="180"/>
        <v>3.0362283640090015E-3</v>
      </c>
      <c r="BZ127" s="538">
        <f t="shared" si="166"/>
        <v>2.7103303834376063E-3</v>
      </c>
      <c r="CA127" s="641">
        <f t="shared" si="237"/>
        <v>2.7199999999999998E-3</v>
      </c>
      <c r="CB127" s="469">
        <f t="shared" si="238"/>
        <v>11.176889130884215</v>
      </c>
      <c r="CC127" s="177">
        <f t="shared" si="168"/>
        <v>8.0427582443104911E-2</v>
      </c>
      <c r="CD127" s="5">
        <f t="shared" si="239"/>
        <v>0.81600000000000006</v>
      </c>
      <c r="CE127" s="177">
        <f t="shared" si="240"/>
        <v>0.91027988872909371</v>
      </c>
      <c r="CF127" s="5">
        <f t="shared" si="241"/>
        <v>91.027988872909376</v>
      </c>
      <c r="CG127">
        <f t="shared" si="242"/>
        <v>17</v>
      </c>
      <c r="CI127" s="571">
        <f t="shared" si="243"/>
        <v>-50</v>
      </c>
      <c r="CJ127">
        <f t="shared" si="244"/>
        <v>-50</v>
      </c>
    </row>
    <row r="128" spans="5:88" x14ac:dyDescent="0.25">
      <c r="E128" s="174">
        <v>18</v>
      </c>
      <c r="F128" s="221">
        <f t="shared" si="245"/>
        <v>3.5999999999999997E-2</v>
      </c>
      <c r="G128" s="221">
        <f t="shared" si="183"/>
        <v>1.7999999999999999E-2</v>
      </c>
      <c r="H128" s="221">
        <f t="shared" si="184"/>
        <v>0.57599999999999996</v>
      </c>
      <c r="I128" s="221">
        <f t="shared" si="185"/>
        <v>0.28799999999999998</v>
      </c>
      <c r="J128" s="551">
        <f t="shared" si="186"/>
        <v>12</v>
      </c>
      <c r="K128" s="451">
        <f t="shared" si="187"/>
        <v>19.584</v>
      </c>
      <c r="L128" s="451">
        <f t="shared" si="188"/>
        <v>31.584</v>
      </c>
      <c r="M128" s="451"/>
      <c r="N128" s="221">
        <f t="shared" si="189"/>
        <v>0.62006079027355621</v>
      </c>
      <c r="O128" s="176">
        <f t="shared" si="190"/>
        <v>3.3483282674772035</v>
      </c>
      <c r="P128" s="176">
        <f t="shared" si="191"/>
        <v>1.6741641337386017</v>
      </c>
      <c r="Q128" s="221">
        <f t="shared" si="192"/>
        <v>0.20927051671732522</v>
      </c>
      <c r="R128" s="221">
        <f t="shared" si="193"/>
        <v>0.20927051671732522</v>
      </c>
      <c r="S128" s="221">
        <f t="shared" si="194"/>
        <v>16</v>
      </c>
      <c r="T128" s="221">
        <f t="shared" si="195"/>
        <v>0.25803921568627447</v>
      </c>
      <c r="U128" s="221">
        <f t="shared" si="196"/>
        <v>0.6450980392156862</v>
      </c>
      <c r="V128" s="221">
        <f t="shared" si="197"/>
        <v>0.39528066128412148</v>
      </c>
      <c r="W128" s="201">
        <f t="shared" si="198"/>
        <v>350</v>
      </c>
      <c r="X128" s="451">
        <f t="shared" si="199"/>
        <v>350</v>
      </c>
      <c r="Z128" s="221">
        <f t="shared" si="200"/>
        <v>0.70864090316977857</v>
      </c>
      <c r="AA128" s="177">
        <f t="shared" si="201"/>
        <v>1.0855405992184108</v>
      </c>
      <c r="AB128" s="177">
        <f t="shared" si="202"/>
        <v>0.1076961858920636</v>
      </c>
      <c r="AC128" s="177"/>
      <c r="AD128" s="177">
        <f t="shared" si="203"/>
        <v>0.4595588235294118</v>
      </c>
      <c r="AE128" s="555">
        <f t="shared" si="204"/>
        <v>652.79999999999995</v>
      </c>
      <c r="AF128" s="538">
        <f t="shared" si="205"/>
        <v>1.9301470588235291E-2</v>
      </c>
      <c r="AH128" s="177">
        <f t="shared" si="206"/>
        <v>0.4056740422696879</v>
      </c>
      <c r="AI128" s="177">
        <f t="shared" si="207"/>
        <v>0.4056740422696879</v>
      </c>
      <c r="AJ128" s="177">
        <f t="shared" si="208"/>
        <v>1.278277068347917</v>
      </c>
      <c r="AL128" s="555">
        <f t="shared" si="209"/>
        <v>36</v>
      </c>
      <c r="AM128" s="469">
        <f t="shared" si="210"/>
        <v>350</v>
      </c>
      <c r="AO128" s="469">
        <f t="shared" si="211"/>
        <v>36</v>
      </c>
      <c r="AP128" s="469">
        <f t="shared" si="212"/>
        <v>350</v>
      </c>
      <c r="AR128" s="5">
        <f t="shared" si="160"/>
        <v>2.8571428571428572</v>
      </c>
      <c r="AS128" s="5">
        <f t="shared" si="246"/>
        <v>1.0141851056742199</v>
      </c>
      <c r="AT128" s="5">
        <f t="shared" si="247"/>
        <v>1.8429577514686373</v>
      </c>
      <c r="AU128" s="177">
        <f t="shared" si="248"/>
        <v>0.35496478698597694</v>
      </c>
      <c r="AW128" s="5">
        <f t="shared" si="216"/>
        <v>0.22819164877669945</v>
      </c>
      <c r="AX128" s="5"/>
      <c r="AY128" s="5">
        <f t="shared" si="217"/>
        <v>0.11409582438834973</v>
      </c>
      <c r="AZ128" s="5"/>
      <c r="BA128" s="5">
        <f t="shared" si="218"/>
        <v>6.1431925048954561E-2</v>
      </c>
      <c r="BB128" s="5"/>
      <c r="BC128" s="5"/>
      <c r="BD128" s="177">
        <f t="shared" si="219"/>
        <v>0.13954337687237262</v>
      </c>
      <c r="BE128" s="177">
        <f t="shared" si="220"/>
        <v>0.15048675971674919</v>
      </c>
      <c r="BF128" s="177">
        <f t="shared" si="221"/>
        <v>7.5243379858374593E-2</v>
      </c>
      <c r="BG128" s="177"/>
      <c r="BH128" s="538">
        <f t="shared" si="222"/>
        <v>6.8153239101307553E-3</v>
      </c>
      <c r="BI128" s="538">
        <f t="shared" si="223"/>
        <v>2.2422415664330186E-2</v>
      </c>
      <c r="BJ128" s="538">
        <f t="shared" si="224"/>
        <v>4.3749999999999995E-3</v>
      </c>
      <c r="BK128" s="538">
        <f t="shared" si="225"/>
        <v>1.7457108480000001E-2</v>
      </c>
      <c r="BL128">
        <f t="shared" si="226"/>
        <v>3.48E-3</v>
      </c>
      <c r="BM128">
        <f t="shared" si="227"/>
        <v>6.1250000000000006E-6</v>
      </c>
      <c r="BN128">
        <f t="shared" si="228"/>
        <v>5.554588669451798E-2</v>
      </c>
      <c r="BO128" s="469">
        <f t="shared" si="229"/>
        <v>54.549848054460931</v>
      </c>
      <c r="BP128" s="177">
        <f t="shared" si="230"/>
        <v>1.44E-2</v>
      </c>
      <c r="BQ128" s="177">
        <f t="shared" si="231"/>
        <v>7.1999999999999998E-3</v>
      </c>
      <c r="BR128" s="538"/>
      <c r="BT128" s="469">
        <f t="shared" si="232"/>
        <v>21.6</v>
      </c>
      <c r="BU128" s="538">
        <f t="shared" si="233"/>
        <v>1.9472354028945019E-3</v>
      </c>
      <c r="BV128" s="538">
        <f t="shared" si="234"/>
        <v>6.7938794550139814E-4</v>
      </c>
      <c r="BW128" s="538">
        <f t="shared" si="235"/>
        <v>2.8307831062558258E-4</v>
      </c>
      <c r="BX128" s="538">
        <f t="shared" si="236"/>
        <v>0</v>
      </c>
      <c r="BY128" s="538">
        <f t="shared" si="180"/>
        <v>3.2596246209174425E-3</v>
      </c>
      <c r="BZ128" s="538">
        <f t="shared" si="166"/>
        <v>2.9097016590214826E-3</v>
      </c>
      <c r="CA128" s="641">
        <f t="shared" si="237"/>
        <v>2.8799999999999997E-3</v>
      </c>
      <c r="CB128" s="469">
        <f t="shared" si="238"/>
        <v>11.959027938960407</v>
      </c>
      <c r="CC128" s="177">
        <f t="shared" si="168"/>
        <v>8.328551131543542E-2</v>
      </c>
      <c r="CD128" s="5">
        <f t="shared" si="239"/>
        <v>0.86399999999999988</v>
      </c>
      <c r="CE128" s="177">
        <f t="shared" si="240"/>
        <v>0.91207982142597954</v>
      </c>
      <c r="CF128" s="5">
        <f t="shared" si="241"/>
        <v>91.207982142597956</v>
      </c>
      <c r="CG128">
        <f t="shared" si="242"/>
        <v>17.999999999999996</v>
      </c>
      <c r="CI128" s="571">
        <f t="shared" si="243"/>
        <v>-50</v>
      </c>
      <c r="CJ128">
        <f t="shared" si="244"/>
        <v>-50</v>
      </c>
    </row>
    <row r="129" spans="5:88" x14ac:dyDescent="0.25">
      <c r="E129" s="174">
        <v>19</v>
      </c>
      <c r="F129" s="221">
        <f t="shared" si="245"/>
        <v>3.8000000000000006E-2</v>
      </c>
      <c r="G129" s="221">
        <f t="shared" si="183"/>
        <v>1.9000000000000003E-2</v>
      </c>
      <c r="H129" s="221">
        <f t="shared" si="184"/>
        <v>0.6080000000000001</v>
      </c>
      <c r="I129" s="221">
        <f t="shared" si="185"/>
        <v>0.30400000000000005</v>
      </c>
      <c r="J129" s="551">
        <f t="shared" si="186"/>
        <v>12</v>
      </c>
      <c r="K129" s="451">
        <f t="shared" si="187"/>
        <v>19.584</v>
      </c>
      <c r="L129" s="451">
        <f t="shared" si="188"/>
        <v>31.584</v>
      </c>
      <c r="M129" s="451"/>
      <c r="N129" s="221">
        <f t="shared" si="189"/>
        <v>0.62006079027355621</v>
      </c>
      <c r="O129" s="176">
        <f t="shared" si="190"/>
        <v>3.3483282674772035</v>
      </c>
      <c r="P129" s="176">
        <f t="shared" si="191"/>
        <v>1.6741641337386017</v>
      </c>
      <c r="Q129" s="221">
        <f t="shared" si="192"/>
        <v>0.20927051671732522</v>
      </c>
      <c r="R129" s="221">
        <f t="shared" si="193"/>
        <v>0.20927051671732522</v>
      </c>
      <c r="S129" s="221">
        <f t="shared" si="194"/>
        <v>16</v>
      </c>
      <c r="T129" s="221">
        <f t="shared" si="195"/>
        <v>0.27237472766884535</v>
      </c>
      <c r="U129" s="221">
        <f t="shared" si="196"/>
        <v>0.68093681917211335</v>
      </c>
      <c r="V129" s="221">
        <f t="shared" si="197"/>
        <v>0.41724069802212832</v>
      </c>
      <c r="W129" s="201">
        <f t="shared" si="198"/>
        <v>350</v>
      </c>
      <c r="X129" s="451">
        <f t="shared" si="199"/>
        <v>350</v>
      </c>
      <c r="Z129" s="221">
        <f t="shared" si="200"/>
        <v>0.70864090316977857</v>
      </c>
      <c r="AA129" s="177">
        <f t="shared" si="201"/>
        <v>1.0855405992184108</v>
      </c>
      <c r="AB129" s="177">
        <f t="shared" si="202"/>
        <v>0.1076961858920636</v>
      </c>
      <c r="AC129" s="177"/>
      <c r="AD129" s="177">
        <f t="shared" si="203"/>
        <v>0.4595588235294118</v>
      </c>
      <c r="AE129" s="555">
        <f t="shared" si="204"/>
        <v>689.06666666666695</v>
      </c>
      <c r="AF129" s="538">
        <f t="shared" si="205"/>
        <v>1.9301470588235291E-2</v>
      </c>
      <c r="AH129" s="177">
        <f t="shared" si="206"/>
        <v>0.41679045780138219</v>
      </c>
      <c r="AI129" s="177">
        <f t="shared" si="207"/>
        <v>0.41679045780138219</v>
      </c>
      <c r="AJ129" s="177">
        <f t="shared" si="208"/>
        <v>1.286511450223246</v>
      </c>
      <c r="AL129" s="555">
        <f t="shared" si="209"/>
        <v>38.000000000000007</v>
      </c>
      <c r="AM129" s="469">
        <f t="shared" si="210"/>
        <v>350</v>
      </c>
      <c r="AO129" s="469">
        <f t="shared" si="211"/>
        <v>38.000000000000007</v>
      </c>
      <c r="AP129" s="469">
        <f t="shared" si="212"/>
        <v>350</v>
      </c>
      <c r="AR129" s="5">
        <f t="shared" si="160"/>
        <v>2.8571428571428572</v>
      </c>
      <c r="AS129" s="5">
        <f t="shared" si="246"/>
        <v>1.0419761445034554</v>
      </c>
      <c r="AT129" s="5">
        <f t="shared" si="247"/>
        <v>1.8151667126394018</v>
      </c>
      <c r="AU129" s="177">
        <f t="shared" si="248"/>
        <v>0.36469165057620939</v>
      </c>
      <c r="AW129" s="5">
        <f t="shared" si="216"/>
        <v>0.24746933431957072</v>
      </c>
      <c r="AX129" s="5"/>
      <c r="AY129" s="5">
        <f t="shared" si="217"/>
        <v>0.12373466715978536</v>
      </c>
      <c r="AZ129" s="5"/>
      <c r="BA129" s="5">
        <f t="shared" si="218"/>
        <v>6.3866976926201177E-2</v>
      </c>
      <c r="BB129" s="5"/>
      <c r="BC129" s="5"/>
      <c r="BD129" s="177">
        <f t="shared" si="219"/>
        <v>0.1453182135703231</v>
      </c>
      <c r="BE129" s="177">
        <f t="shared" si="220"/>
        <v>0.15344028927916814</v>
      </c>
      <c r="BF129" s="177">
        <f t="shared" si="221"/>
        <v>7.672014463958407E-2</v>
      </c>
      <c r="BG129" s="177"/>
      <c r="BH129" s="538">
        <f t="shared" si="222"/>
        <v>7.3910841183445122E-3</v>
      </c>
      <c r="BI129" s="538">
        <f t="shared" si="223"/>
        <v>2.3036842183597996E-2</v>
      </c>
      <c r="BJ129" s="538">
        <f t="shared" si="224"/>
        <v>4.3749999999999995E-3</v>
      </c>
      <c r="BK129" s="538">
        <f t="shared" si="225"/>
        <v>1.7457108480000001E-2</v>
      </c>
      <c r="BL129">
        <f t="shared" si="226"/>
        <v>3.48E-3</v>
      </c>
      <c r="BM129">
        <f t="shared" si="227"/>
        <v>6.1250000000000006E-6</v>
      </c>
      <c r="BN129">
        <f t="shared" si="228"/>
        <v>5.6821440981147199E-2</v>
      </c>
      <c r="BO129" s="469">
        <f t="shared" si="229"/>
        <v>55.740034781942505</v>
      </c>
      <c r="BP129" s="177">
        <f t="shared" si="230"/>
        <v>1.5200000000000003E-2</v>
      </c>
      <c r="BQ129" s="177">
        <f t="shared" si="231"/>
        <v>7.6000000000000017E-3</v>
      </c>
      <c r="BR129" s="538"/>
      <c r="BT129" s="469">
        <f t="shared" si="232"/>
        <v>22.800000000000004</v>
      </c>
      <c r="BU129" s="538">
        <f t="shared" si="233"/>
        <v>2.1117383195270035E-3</v>
      </c>
      <c r="BV129" s="538">
        <f t="shared" si="234"/>
        <v>7.0631767122224394E-4</v>
      </c>
      <c r="BW129" s="538">
        <f t="shared" si="235"/>
        <v>2.9429902967593503E-4</v>
      </c>
      <c r="BX129" s="538">
        <f t="shared" si="236"/>
        <v>0</v>
      </c>
      <c r="BY129" s="538">
        <f t="shared" si="180"/>
        <v>3.4867057721733861E-3</v>
      </c>
      <c r="BZ129" s="538">
        <f t="shared" si="166"/>
        <v>3.1123550204251822E-3</v>
      </c>
      <c r="CA129" s="641">
        <f t="shared" si="237"/>
        <v>3.0400000000000006E-3</v>
      </c>
      <c r="CB129" s="469">
        <f t="shared" si="238"/>
        <v>12.751415813023751</v>
      </c>
      <c r="CC129" s="177">
        <f t="shared" si="168"/>
        <v>8.6148146753320581E-2</v>
      </c>
      <c r="CD129" s="5">
        <f t="shared" si="239"/>
        <v>0.91200000000000014</v>
      </c>
      <c r="CE129" s="177">
        <f t="shared" si="240"/>
        <v>0.91369202354025814</v>
      </c>
      <c r="CF129" s="5">
        <f t="shared" si="241"/>
        <v>91.369202354025816</v>
      </c>
      <c r="CG129">
        <f t="shared" si="242"/>
        <v>19.000000000000004</v>
      </c>
      <c r="CI129" s="571">
        <f t="shared" si="243"/>
        <v>-50</v>
      </c>
      <c r="CJ129">
        <f t="shared" si="244"/>
        <v>-50</v>
      </c>
    </row>
    <row r="130" spans="5:88" x14ac:dyDescent="0.25">
      <c r="E130" s="174">
        <v>20</v>
      </c>
      <c r="F130" s="221">
        <f t="shared" si="245"/>
        <v>4.0000000000000008E-2</v>
      </c>
      <c r="G130" s="221">
        <f t="shared" si="183"/>
        <v>2.0000000000000004E-2</v>
      </c>
      <c r="H130" s="221">
        <f t="shared" si="184"/>
        <v>0.64000000000000012</v>
      </c>
      <c r="I130" s="221">
        <f t="shared" si="185"/>
        <v>0.32000000000000006</v>
      </c>
      <c r="J130" s="551">
        <f t="shared" si="186"/>
        <v>12</v>
      </c>
      <c r="K130" s="451">
        <f t="shared" si="187"/>
        <v>19.584</v>
      </c>
      <c r="L130" s="451">
        <f t="shared" si="188"/>
        <v>31.584</v>
      </c>
      <c r="M130" s="451"/>
      <c r="N130" s="221">
        <f t="shared" si="189"/>
        <v>0.62006079027355621</v>
      </c>
      <c r="O130" s="176">
        <f t="shared" si="190"/>
        <v>3.3483282674772035</v>
      </c>
      <c r="P130" s="176">
        <f t="shared" si="191"/>
        <v>1.6741641337386017</v>
      </c>
      <c r="Q130" s="221">
        <f t="shared" si="192"/>
        <v>0.20927051671732522</v>
      </c>
      <c r="R130" s="221">
        <f t="shared" si="193"/>
        <v>0.20927051671732522</v>
      </c>
      <c r="S130" s="221">
        <f t="shared" si="194"/>
        <v>16</v>
      </c>
      <c r="T130" s="221">
        <f t="shared" si="195"/>
        <v>0.28671023965141618</v>
      </c>
      <c r="U130" s="221">
        <f t="shared" si="196"/>
        <v>0.7167755991285405</v>
      </c>
      <c r="V130" s="221">
        <f t="shared" si="197"/>
        <v>0.4392007347601351</v>
      </c>
      <c r="W130" s="201">
        <f t="shared" si="198"/>
        <v>350</v>
      </c>
      <c r="X130" s="451">
        <f t="shared" si="199"/>
        <v>350</v>
      </c>
      <c r="Z130" s="221">
        <f t="shared" si="200"/>
        <v>0.70864090316977857</v>
      </c>
      <c r="AA130" s="177">
        <f t="shared" si="201"/>
        <v>1.0855405992184108</v>
      </c>
      <c r="AB130" s="177">
        <f t="shared" si="202"/>
        <v>0.1076961858920636</v>
      </c>
      <c r="AC130" s="177"/>
      <c r="AD130" s="177">
        <f t="shared" si="203"/>
        <v>0.4595588235294118</v>
      </c>
      <c r="AE130" s="555">
        <f t="shared" si="204"/>
        <v>725.3333333333336</v>
      </c>
      <c r="AF130" s="538">
        <f t="shared" si="205"/>
        <v>1.9301470588235291E-2</v>
      </c>
      <c r="AH130" s="177">
        <f t="shared" si="206"/>
        <v>0.42761798705987902</v>
      </c>
      <c r="AI130" s="177">
        <f t="shared" si="207"/>
        <v>0.42761798705987902</v>
      </c>
      <c r="AJ130" s="177">
        <f t="shared" si="208"/>
        <v>1.294531842266577</v>
      </c>
      <c r="AL130" s="555">
        <f t="shared" si="209"/>
        <v>40.000000000000007</v>
      </c>
      <c r="AM130" s="469">
        <f t="shared" si="210"/>
        <v>350</v>
      </c>
      <c r="AO130" s="469">
        <f t="shared" si="211"/>
        <v>40.000000000000007</v>
      </c>
      <c r="AP130" s="469">
        <f t="shared" si="212"/>
        <v>350</v>
      </c>
      <c r="AR130" s="5">
        <f t="shared" si="160"/>
        <v>2.8571428571428572</v>
      </c>
      <c r="AS130" s="5">
        <f t="shared" si="246"/>
        <v>1.0690449676496976</v>
      </c>
      <c r="AT130" s="5">
        <f t="shared" si="247"/>
        <v>1.7880978894931596</v>
      </c>
      <c r="AU130" s="177">
        <f t="shared" si="248"/>
        <v>0.37416573867739417</v>
      </c>
      <c r="AW130" s="5">
        <f t="shared" si="216"/>
        <v>0.2672612419124244</v>
      </c>
      <c r="AX130" s="5"/>
      <c r="AY130" s="5">
        <f t="shared" si="217"/>
        <v>0.1336306209562122</v>
      </c>
      <c r="AZ130" s="5"/>
      <c r="BA130" s="5">
        <f t="shared" si="218"/>
        <v>6.6225847759005918E-2</v>
      </c>
      <c r="BB130" s="5"/>
      <c r="BC130" s="5"/>
      <c r="BD130" s="177">
        <f t="shared" si="219"/>
        <v>0.15101752429169785</v>
      </c>
      <c r="BE130" s="177">
        <f t="shared" si="220"/>
        <v>0.15624818884671887</v>
      </c>
      <c r="BF130" s="177">
        <f t="shared" si="221"/>
        <v>7.8124094423359436E-2</v>
      </c>
      <c r="BG130" s="177"/>
      <c r="BH130" s="538">
        <f t="shared" si="222"/>
        <v>7.9822024251177421E-3</v>
      </c>
      <c r="BI130" s="538">
        <f t="shared" si="223"/>
        <v>2.3635301380773636E-2</v>
      </c>
      <c r="BJ130" s="538">
        <f t="shared" si="224"/>
        <v>4.3749999999999995E-3</v>
      </c>
      <c r="BK130" s="538">
        <f t="shared" si="225"/>
        <v>1.7457108480000001E-2</v>
      </c>
      <c r="BL130">
        <f t="shared" si="226"/>
        <v>3.48E-3</v>
      </c>
      <c r="BM130">
        <f t="shared" si="227"/>
        <v>6.1250000000000006E-6</v>
      </c>
      <c r="BN130">
        <f t="shared" si="228"/>
        <v>5.8098897809854756E-2</v>
      </c>
      <c r="BO130" s="469">
        <f t="shared" si="229"/>
        <v>56.929612285891373</v>
      </c>
      <c r="BP130" s="177">
        <f t="shared" si="230"/>
        <v>1.6000000000000004E-2</v>
      </c>
      <c r="BQ130" s="177">
        <f t="shared" si="231"/>
        <v>8.0000000000000019E-3</v>
      </c>
      <c r="BR130" s="538"/>
      <c r="BT130" s="469">
        <f t="shared" si="232"/>
        <v>24.000000000000007</v>
      </c>
      <c r="BU130" s="538">
        <f t="shared" si="233"/>
        <v>2.2806292643193552E-3</v>
      </c>
      <c r="BV130" s="538">
        <f t="shared" si="234"/>
        <v>7.3240489553639762E-4</v>
      </c>
      <c r="BW130" s="538">
        <f t="shared" si="235"/>
        <v>3.0516870647349903E-4</v>
      </c>
      <c r="BX130" s="538">
        <f t="shared" si="236"/>
        <v>0</v>
      </c>
      <c r="BY130" s="538">
        <f t="shared" si="180"/>
        <v>3.7173740103764777E-3</v>
      </c>
      <c r="BZ130" s="538">
        <f t="shared" si="166"/>
        <v>3.3182028663292515E-3</v>
      </c>
      <c r="CA130" s="641">
        <f t="shared" si="237"/>
        <v>3.2000000000000006E-3</v>
      </c>
      <c r="CB130" s="469">
        <f t="shared" si="238"/>
        <v>13.553779743034983</v>
      </c>
      <c r="CC130" s="177">
        <f t="shared" si="168"/>
        <v>8.9016271820231238E-2</v>
      </c>
      <c r="CD130" s="5">
        <f t="shared" si="239"/>
        <v>0.96000000000000019</v>
      </c>
      <c r="CE130" s="177">
        <f t="shared" si="240"/>
        <v>0.91514309719355258</v>
      </c>
      <c r="CF130" s="5">
        <f t="shared" si="241"/>
        <v>91.514309719355253</v>
      </c>
      <c r="CG130">
        <f t="shared" si="242"/>
        <v>20.000000000000004</v>
      </c>
      <c r="CI130" s="571">
        <f t="shared" si="243"/>
        <v>-50</v>
      </c>
      <c r="CJ130">
        <f t="shared" si="244"/>
        <v>-50</v>
      </c>
    </row>
    <row r="131" spans="5:88" x14ac:dyDescent="0.25">
      <c r="E131" s="174">
        <v>21</v>
      </c>
      <c r="F131" s="221">
        <f t="shared" si="245"/>
        <v>4.2000000000000003E-2</v>
      </c>
      <c r="G131" s="221">
        <f t="shared" si="183"/>
        <v>2.1000000000000001E-2</v>
      </c>
      <c r="H131" s="221">
        <f t="shared" si="184"/>
        <v>0.67200000000000004</v>
      </c>
      <c r="I131" s="221">
        <f t="shared" si="185"/>
        <v>0.33600000000000002</v>
      </c>
      <c r="J131" s="551">
        <f t="shared" si="186"/>
        <v>12</v>
      </c>
      <c r="K131" s="451">
        <f t="shared" si="187"/>
        <v>19.584</v>
      </c>
      <c r="L131" s="451">
        <f t="shared" si="188"/>
        <v>31.584</v>
      </c>
      <c r="M131" s="451"/>
      <c r="N131" s="221">
        <f t="shared" si="189"/>
        <v>0.62006079027355621</v>
      </c>
      <c r="O131" s="176">
        <f t="shared" si="190"/>
        <v>3.3483282674772035</v>
      </c>
      <c r="P131" s="176">
        <f t="shared" si="191"/>
        <v>1.6741641337386017</v>
      </c>
      <c r="Q131" s="221">
        <f t="shared" si="192"/>
        <v>0.20927051671732522</v>
      </c>
      <c r="R131" s="221">
        <f t="shared" si="193"/>
        <v>0.20927051671732522</v>
      </c>
      <c r="S131" s="221">
        <f t="shared" si="194"/>
        <v>16</v>
      </c>
      <c r="T131" s="221">
        <f t="shared" si="195"/>
        <v>0.30104575163398689</v>
      </c>
      <c r="U131" s="221">
        <f t="shared" si="196"/>
        <v>0.7526143790849672</v>
      </c>
      <c r="V131" s="221">
        <f t="shared" si="197"/>
        <v>0.46116077149814166</v>
      </c>
      <c r="W131" s="201">
        <f t="shared" si="198"/>
        <v>350</v>
      </c>
      <c r="X131" s="451">
        <f t="shared" si="199"/>
        <v>350</v>
      </c>
      <c r="Z131" s="221">
        <f t="shared" si="200"/>
        <v>0.70864090316977857</v>
      </c>
      <c r="AA131" s="177">
        <f t="shared" si="201"/>
        <v>1.0855405992184108</v>
      </c>
      <c r="AB131" s="177">
        <f t="shared" si="202"/>
        <v>0.1076961858920636</v>
      </c>
      <c r="AC131" s="177"/>
      <c r="AD131" s="177">
        <f t="shared" si="203"/>
        <v>0.4595588235294118</v>
      </c>
      <c r="AE131" s="555">
        <f t="shared" si="204"/>
        <v>761.60000000000025</v>
      </c>
      <c r="AF131" s="538">
        <f t="shared" si="205"/>
        <v>1.9301470588235291E-2</v>
      </c>
      <c r="AH131" s="177">
        <f t="shared" si="206"/>
        <v>0.4381780460041329</v>
      </c>
      <c r="AI131" s="177">
        <f t="shared" si="207"/>
        <v>0.4381780460041329</v>
      </c>
      <c r="AJ131" s="177">
        <f t="shared" si="208"/>
        <v>1.3023541081512096</v>
      </c>
      <c r="AL131" s="555">
        <f t="shared" si="209"/>
        <v>42</v>
      </c>
      <c r="AM131" s="469">
        <f t="shared" si="210"/>
        <v>350</v>
      </c>
      <c r="AO131" s="469">
        <f t="shared" si="211"/>
        <v>42</v>
      </c>
      <c r="AP131" s="469">
        <f t="shared" si="212"/>
        <v>350</v>
      </c>
      <c r="AR131" s="5">
        <f t="shared" si="160"/>
        <v>2.8571428571428572</v>
      </c>
      <c r="AS131" s="5">
        <f t="shared" si="246"/>
        <v>1.0954451150103324</v>
      </c>
      <c r="AT131" s="5">
        <f t="shared" si="247"/>
        <v>1.7616977421325248</v>
      </c>
      <c r="AU131" s="177">
        <f t="shared" si="248"/>
        <v>0.38340579025361632</v>
      </c>
      <c r="AW131" s="5">
        <f t="shared" si="216"/>
        <v>0.28755434269021224</v>
      </c>
      <c r="AX131" s="5"/>
      <c r="AY131" s="5">
        <f t="shared" si="217"/>
        <v>0.14377717134510612</v>
      </c>
      <c r="AZ131" s="5"/>
      <c r="BA131" s="5">
        <f t="shared" si="218"/>
        <v>6.8510467749598195E-2</v>
      </c>
      <c r="BB131" s="5"/>
      <c r="BC131" s="5"/>
      <c r="BD131" s="177">
        <f t="shared" si="219"/>
        <v>0.15664600402254583</v>
      </c>
      <c r="BE131" s="177">
        <f t="shared" si="220"/>
        <v>0.15892041665944584</v>
      </c>
      <c r="BF131" s="177">
        <f t="shared" si="221"/>
        <v>7.946020832972292E-2</v>
      </c>
      <c r="BG131" s="177"/>
      <c r="BH131" s="538">
        <f t="shared" si="222"/>
        <v>8.5882897016810039E-3</v>
      </c>
      <c r="BI131" s="538">
        <f t="shared" si="223"/>
        <v>2.4218976958740434E-2</v>
      </c>
      <c r="BJ131" s="538">
        <f t="shared" si="224"/>
        <v>4.3749999999999995E-3</v>
      </c>
      <c r="BK131" s="538">
        <f t="shared" si="225"/>
        <v>1.7457108480000001E-2</v>
      </c>
      <c r="BL131">
        <f t="shared" si="226"/>
        <v>3.48E-3</v>
      </c>
      <c r="BM131">
        <f t="shared" si="227"/>
        <v>6.1250000000000006E-6</v>
      </c>
      <c r="BN131">
        <f t="shared" si="228"/>
        <v>5.9379007630237977E-2</v>
      </c>
      <c r="BO131" s="469">
        <f t="shared" si="229"/>
        <v>58.11937514042144</v>
      </c>
      <c r="BP131" s="177">
        <f t="shared" si="230"/>
        <v>1.6800000000000002E-2</v>
      </c>
      <c r="BQ131" s="177">
        <f t="shared" si="231"/>
        <v>8.4000000000000012E-3</v>
      </c>
      <c r="BR131" s="538"/>
      <c r="BT131" s="469">
        <f t="shared" si="232"/>
        <v>25.200000000000003</v>
      </c>
      <c r="BU131" s="538">
        <f t="shared" si="233"/>
        <v>2.4537970576231447E-3</v>
      </c>
      <c r="BV131" s="538">
        <f t="shared" si="234"/>
        <v>7.5767096493635608E-4</v>
      </c>
      <c r="BW131" s="538">
        <f t="shared" si="235"/>
        <v>3.1569623539014842E-4</v>
      </c>
      <c r="BX131" s="538">
        <f t="shared" si="236"/>
        <v>0</v>
      </c>
      <c r="BY131" s="538">
        <f t="shared" si="180"/>
        <v>3.9515389870699346E-3</v>
      </c>
      <c r="BZ131" s="538">
        <f t="shared" si="166"/>
        <v>3.5271642579496488E-3</v>
      </c>
      <c r="CA131" s="641">
        <f t="shared" si="237"/>
        <v>3.3600000000000006E-3</v>
      </c>
      <c r="CB131" s="469">
        <f t="shared" si="238"/>
        <v>14.365867502969232</v>
      </c>
      <c r="CC131" s="177">
        <f t="shared" si="168"/>
        <v>9.1890546617307917E-2</v>
      </c>
      <c r="CD131" s="5">
        <f t="shared" si="239"/>
        <v>1.008</v>
      </c>
      <c r="CE131" s="177">
        <f t="shared" si="240"/>
        <v>0.9164548264371255</v>
      </c>
      <c r="CF131" s="5">
        <f t="shared" si="241"/>
        <v>91.645482643712555</v>
      </c>
      <c r="CG131">
        <f t="shared" si="242"/>
        <v>21</v>
      </c>
      <c r="CI131" s="571">
        <f t="shared" si="243"/>
        <v>-50</v>
      </c>
      <c r="CJ131">
        <f t="shared" si="244"/>
        <v>-50</v>
      </c>
    </row>
    <row r="132" spans="5:88" x14ac:dyDescent="0.25">
      <c r="E132" s="174">
        <v>22</v>
      </c>
      <c r="F132" s="221">
        <f t="shared" si="245"/>
        <v>4.4000000000000004E-2</v>
      </c>
      <c r="G132" s="221">
        <f t="shared" si="183"/>
        <v>2.2000000000000002E-2</v>
      </c>
      <c r="H132" s="221">
        <f t="shared" si="184"/>
        <v>0.70400000000000007</v>
      </c>
      <c r="I132" s="221">
        <f t="shared" si="185"/>
        <v>0.35200000000000004</v>
      </c>
      <c r="J132" s="551">
        <f t="shared" si="186"/>
        <v>12</v>
      </c>
      <c r="K132" s="451">
        <f t="shared" si="187"/>
        <v>19.584</v>
      </c>
      <c r="L132" s="451">
        <f t="shared" si="188"/>
        <v>31.584</v>
      </c>
      <c r="M132" s="451"/>
      <c r="N132" s="221">
        <f t="shared" si="189"/>
        <v>0.62006079027355621</v>
      </c>
      <c r="O132" s="176">
        <f t="shared" si="190"/>
        <v>3.3483282674772035</v>
      </c>
      <c r="P132" s="176">
        <f t="shared" si="191"/>
        <v>1.6741641337386017</v>
      </c>
      <c r="Q132" s="221">
        <f t="shared" si="192"/>
        <v>0.20927051671732522</v>
      </c>
      <c r="R132" s="221">
        <f t="shared" si="193"/>
        <v>0.20927051671732522</v>
      </c>
      <c r="S132" s="221">
        <f t="shared" si="194"/>
        <v>16</v>
      </c>
      <c r="T132" s="221">
        <f t="shared" si="195"/>
        <v>0.31538126361655772</v>
      </c>
      <c r="U132" s="221">
        <f t="shared" si="196"/>
        <v>0.78845315904139424</v>
      </c>
      <c r="V132" s="221">
        <f t="shared" si="197"/>
        <v>0.48312080823614839</v>
      </c>
      <c r="W132" s="201">
        <f t="shared" si="198"/>
        <v>350</v>
      </c>
      <c r="X132" s="451">
        <f t="shared" si="199"/>
        <v>350</v>
      </c>
      <c r="Z132" s="221">
        <f t="shared" si="200"/>
        <v>0.70864090316977857</v>
      </c>
      <c r="AA132" s="177">
        <f t="shared" si="201"/>
        <v>1.0855405992184108</v>
      </c>
      <c r="AB132" s="177">
        <f t="shared" si="202"/>
        <v>0.1076961858920636</v>
      </c>
      <c r="AC132" s="177"/>
      <c r="AD132" s="177">
        <f t="shared" si="203"/>
        <v>0.4595588235294118</v>
      </c>
      <c r="AE132" s="555">
        <f t="shared" si="204"/>
        <v>797.86666666666702</v>
      </c>
      <c r="AF132" s="538">
        <f t="shared" si="205"/>
        <v>1.9301470588235291E-2</v>
      </c>
      <c r="AH132" s="177">
        <f t="shared" si="206"/>
        <v>0.44848952846511048</v>
      </c>
      <c r="AI132" s="177">
        <f t="shared" si="207"/>
        <v>0.44848952846511048</v>
      </c>
      <c r="AJ132" s="177">
        <f t="shared" si="208"/>
        <v>1.3099922433074891</v>
      </c>
      <c r="AL132" s="555">
        <f t="shared" si="209"/>
        <v>44.000000000000007</v>
      </c>
      <c r="AM132" s="469">
        <f t="shared" si="210"/>
        <v>350</v>
      </c>
      <c r="AO132" s="469">
        <f t="shared" si="211"/>
        <v>44.000000000000007</v>
      </c>
      <c r="AP132" s="469">
        <f t="shared" si="212"/>
        <v>350</v>
      </c>
      <c r="AR132" s="5">
        <f t="shared" si="160"/>
        <v>2.8571428571428572</v>
      </c>
      <c r="AS132" s="5">
        <f t="shared" si="246"/>
        <v>1.1212238211627761</v>
      </c>
      <c r="AT132" s="5">
        <f t="shared" si="247"/>
        <v>1.7359190359800811</v>
      </c>
      <c r="AU132" s="177">
        <f t="shared" si="248"/>
        <v>0.39242833740697164</v>
      </c>
      <c r="AW132" s="5">
        <f t="shared" si="216"/>
        <v>0.30833655081976341</v>
      </c>
      <c r="AX132" s="5"/>
      <c r="AY132" s="5">
        <f t="shared" si="217"/>
        <v>0.15416827540988171</v>
      </c>
      <c r="AZ132" s="5"/>
      <c r="BA132" s="5">
        <f t="shared" si="218"/>
        <v>7.072262739178109E-2</v>
      </c>
      <c r="BB132" s="5"/>
      <c r="BC132" s="5"/>
      <c r="BD132" s="177">
        <f t="shared" si="219"/>
        <v>0.16220784712816189</v>
      </c>
      <c r="BE132" s="177">
        <f t="shared" si="220"/>
        <v>0.16146575290663395</v>
      </c>
      <c r="BF132" s="177">
        <f t="shared" si="221"/>
        <v>8.0732876453316976E-2</v>
      </c>
      <c r="BG132" s="177"/>
      <c r="BH132" s="538">
        <f t="shared" si="222"/>
        <v>9.208984984483597E-3</v>
      </c>
      <c r="BI132" s="538">
        <f t="shared" si="223"/>
        <v>2.4788913217323589E-2</v>
      </c>
      <c r="BJ132" s="538">
        <f t="shared" si="224"/>
        <v>4.3749999999999995E-3</v>
      </c>
      <c r="BK132" s="538">
        <f t="shared" si="225"/>
        <v>1.7457108480000001E-2</v>
      </c>
      <c r="BL132">
        <f t="shared" si="226"/>
        <v>3.48E-3</v>
      </c>
      <c r="BM132">
        <f t="shared" si="227"/>
        <v>6.1250000000000006E-6</v>
      </c>
      <c r="BN132">
        <f t="shared" si="228"/>
        <v>6.0662413597433636E-2</v>
      </c>
      <c r="BO132" s="469">
        <f t="shared" si="229"/>
        <v>59.310006681807181</v>
      </c>
      <c r="BP132" s="177">
        <f t="shared" si="230"/>
        <v>1.7600000000000001E-2</v>
      </c>
      <c r="BQ132" s="177">
        <f t="shared" si="231"/>
        <v>8.8000000000000005E-3</v>
      </c>
      <c r="BR132" s="538"/>
      <c r="BT132" s="469">
        <f t="shared" si="232"/>
        <v>26.4</v>
      </c>
      <c r="BU132" s="538">
        <f t="shared" si="233"/>
        <v>2.6311385669953139E-3</v>
      </c>
      <c r="BV132" s="538">
        <f t="shared" si="234"/>
        <v>7.821356808511851E-4</v>
      </c>
      <c r="BW132" s="538">
        <f t="shared" si="235"/>
        <v>3.2588986702132713E-4</v>
      </c>
      <c r="BX132" s="538">
        <f t="shared" si="236"/>
        <v>0</v>
      </c>
      <c r="BY132" s="538">
        <f t="shared" si="180"/>
        <v>4.1891169123024832E-3</v>
      </c>
      <c r="BZ132" s="538">
        <f t="shared" si="166"/>
        <v>3.7391641148678259E-3</v>
      </c>
      <c r="CA132" s="641">
        <f t="shared" si="237"/>
        <v>3.5200000000000006E-3</v>
      </c>
      <c r="CB132" s="469">
        <f t="shared" si="238"/>
        <v>15.187445142038138</v>
      </c>
      <c r="CC132" s="177">
        <f t="shared" si="168"/>
        <v>9.4771530509736107E-2</v>
      </c>
      <c r="CD132" s="5">
        <f t="shared" si="239"/>
        <v>1.056</v>
      </c>
      <c r="CE132" s="177">
        <f t="shared" si="240"/>
        <v>0.9176452249668039</v>
      </c>
      <c r="CF132" s="5">
        <f t="shared" si="241"/>
        <v>91.764522496680385</v>
      </c>
      <c r="CG132">
        <f t="shared" si="242"/>
        <v>22</v>
      </c>
      <c r="CI132" s="571">
        <f t="shared" si="243"/>
        <v>-50</v>
      </c>
      <c r="CJ132">
        <f t="shared" si="244"/>
        <v>-50</v>
      </c>
    </row>
    <row r="133" spans="5:88" x14ac:dyDescent="0.25">
      <c r="E133" s="174">
        <v>23</v>
      </c>
      <c r="F133" s="221">
        <f t="shared" si="245"/>
        <v>4.6000000000000006E-2</v>
      </c>
      <c r="G133" s="221">
        <f t="shared" si="183"/>
        <v>2.3000000000000003E-2</v>
      </c>
      <c r="H133" s="221">
        <f t="shared" si="184"/>
        <v>0.7360000000000001</v>
      </c>
      <c r="I133" s="221">
        <f t="shared" si="185"/>
        <v>0.36800000000000005</v>
      </c>
      <c r="J133" s="551">
        <f t="shared" si="186"/>
        <v>12</v>
      </c>
      <c r="K133" s="451">
        <f t="shared" si="187"/>
        <v>19.584</v>
      </c>
      <c r="L133" s="451">
        <f t="shared" si="188"/>
        <v>31.584</v>
      </c>
      <c r="M133" s="451"/>
      <c r="N133" s="221">
        <f t="shared" si="189"/>
        <v>0.62006079027355621</v>
      </c>
      <c r="O133" s="176">
        <f t="shared" si="190"/>
        <v>3.3483282674772035</v>
      </c>
      <c r="P133" s="176">
        <f t="shared" si="191"/>
        <v>1.6741641337386017</v>
      </c>
      <c r="Q133" s="221">
        <f t="shared" si="192"/>
        <v>0.20927051671732522</v>
      </c>
      <c r="R133" s="221">
        <f t="shared" si="193"/>
        <v>0.20927051671732522</v>
      </c>
      <c r="S133" s="221">
        <f t="shared" si="194"/>
        <v>16</v>
      </c>
      <c r="T133" s="221">
        <f t="shared" si="195"/>
        <v>0.32971677559912854</v>
      </c>
      <c r="U133" s="221">
        <f t="shared" si="196"/>
        <v>0.82429193899782138</v>
      </c>
      <c r="V133" s="221">
        <f t="shared" si="197"/>
        <v>0.50508084497415529</v>
      </c>
      <c r="W133" s="201">
        <f t="shared" si="198"/>
        <v>350</v>
      </c>
      <c r="X133" s="451">
        <f t="shared" si="199"/>
        <v>350</v>
      </c>
      <c r="Z133" s="221">
        <f t="shared" si="200"/>
        <v>0.70864090316977857</v>
      </c>
      <c r="AA133" s="177">
        <f t="shared" si="201"/>
        <v>1.0855405992184108</v>
      </c>
      <c r="AB133" s="177">
        <f t="shared" si="202"/>
        <v>0.1076961858920636</v>
      </c>
      <c r="AC133" s="177"/>
      <c r="AD133" s="177">
        <f t="shared" si="203"/>
        <v>0.4595588235294118</v>
      </c>
      <c r="AE133" s="555">
        <f t="shared" si="204"/>
        <v>834.13333333333355</v>
      </c>
      <c r="AF133" s="538">
        <f t="shared" si="205"/>
        <v>1.9301470588235291E-2</v>
      </c>
      <c r="AH133" s="177">
        <f t="shared" si="206"/>
        <v>0.45856920337688867</v>
      </c>
      <c r="AI133" s="177">
        <f t="shared" si="207"/>
        <v>0.45856920337688867</v>
      </c>
      <c r="AJ133" s="177">
        <f t="shared" si="208"/>
        <v>1.3174586691680656</v>
      </c>
      <c r="AL133" s="555">
        <f t="shared" si="209"/>
        <v>46.000000000000007</v>
      </c>
      <c r="AM133" s="469">
        <f t="shared" si="210"/>
        <v>350</v>
      </c>
      <c r="AO133" s="469">
        <f t="shared" si="211"/>
        <v>46.000000000000007</v>
      </c>
      <c r="AP133" s="469">
        <f t="shared" si="212"/>
        <v>350</v>
      </c>
      <c r="AR133" s="5">
        <f t="shared" si="160"/>
        <v>2.8571428571428572</v>
      </c>
      <c r="AS133" s="5">
        <f t="shared" si="246"/>
        <v>1.1464230084422218</v>
      </c>
      <c r="AT133" s="5">
        <f t="shared" si="247"/>
        <v>1.7107198487006354</v>
      </c>
      <c r="AU133" s="177">
        <f t="shared" si="248"/>
        <v>0.40124805295477761</v>
      </c>
      <c r="AW133" s="5">
        <f t="shared" si="216"/>
        <v>0.32959661492713882</v>
      </c>
      <c r="AX133" s="5"/>
      <c r="AY133" s="5">
        <f t="shared" si="217"/>
        <v>0.16479830746356941</v>
      </c>
      <c r="AZ133" s="5"/>
      <c r="BA133" s="5">
        <f t="shared" si="218"/>
        <v>7.2863993555767795E-2</v>
      </c>
      <c r="BB133" s="5"/>
      <c r="BC133" s="5"/>
      <c r="BD133" s="177">
        <f t="shared" si="219"/>
        <v>0.16770682099162168</v>
      </c>
      <c r="BE133" s="177">
        <f t="shared" si="220"/>
        <v>0.16389198450320333</v>
      </c>
      <c r="BF133" s="177">
        <f t="shared" si="221"/>
        <v>8.1945992251601665E-2</v>
      </c>
      <c r="BG133" s="177"/>
      <c r="BH133" s="538">
        <f t="shared" si="222"/>
        <v>9.843952232490542E-3</v>
      </c>
      <c r="BI133" s="538">
        <f t="shared" si="223"/>
        <v>2.5346037009047393E-2</v>
      </c>
      <c r="BJ133" s="538">
        <f t="shared" si="224"/>
        <v>4.3749999999999995E-3</v>
      </c>
      <c r="BK133" s="538">
        <f t="shared" si="225"/>
        <v>1.7457108480000001E-2</v>
      </c>
      <c r="BL133">
        <f t="shared" si="226"/>
        <v>3.48E-3</v>
      </c>
      <c r="BM133">
        <f t="shared" si="227"/>
        <v>6.1250000000000006E-6</v>
      </c>
      <c r="BN133">
        <f t="shared" si="228"/>
        <v>6.1949669832398843E-2</v>
      </c>
      <c r="BO133" s="469">
        <f t="shared" si="229"/>
        <v>60.502097721537929</v>
      </c>
      <c r="BP133" s="177">
        <f t="shared" si="230"/>
        <v>1.8400000000000003E-2</v>
      </c>
      <c r="BQ133" s="177">
        <f t="shared" si="231"/>
        <v>9.2000000000000016E-3</v>
      </c>
      <c r="BR133" s="538"/>
      <c r="BT133" s="469">
        <f t="shared" si="232"/>
        <v>27.600000000000005</v>
      </c>
      <c r="BU133" s="538">
        <f t="shared" si="233"/>
        <v>2.8125577807115842E-3</v>
      </c>
      <c r="BV133" s="538">
        <f t="shared" si="234"/>
        <v>8.0581747753194716E-4</v>
      </c>
      <c r="BW133" s="538">
        <f t="shared" si="235"/>
        <v>3.3575728230497801E-4</v>
      </c>
      <c r="BX133" s="538">
        <f t="shared" si="236"/>
        <v>0</v>
      </c>
      <c r="BY133" s="538">
        <f t="shared" si="180"/>
        <v>4.4300297994131679E-3</v>
      </c>
      <c r="BZ133" s="538">
        <f t="shared" si="166"/>
        <v>3.9541325405485096E-3</v>
      </c>
      <c r="CA133" s="641">
        <f t="shared" si="237"/>
        <v>3.6800000000000001E-3</v>
      </c>
      <c r="CB133" s="469">
        <f t="shared" si="238"/>
        <v>16.018294880510187</v>
      </c>
      <c r="CC133" s="177">
        <f t="shared" si="168"/>
        <v>9.7659699631812008E-2</v>
      </c>
      <c r="CD133" s="5">
        <f t="shared" si="239"/>
        <v>1.1040000000000001</v>
      </c>
      <c r="CE133" s="177">
        <f t="shared" si="240"/>
        <v>0.91872932107007099</v>
      </c>
      <c r="CF133" s="5">
        <f t="shared" si="241"/>
        <v>91.872932107007102</v>
      </c>
      <c r="CG133">
        <f t="shared" si="242"/>
        <v>23</v>
      </c>
      <c r="CI133" s="571">
        <f t="shared" si="243"/>
        <v>-50</v>
      </c>
      <c r="CJ133">
        <f t="shared" si="244"/>
        <v>-50</v>
      </c>
    </row>
    <row r="134" spans="5:88" x14ac:dyDescent="0.25">
      <c r="E134" s="174">
        <v>24</v>
      </c>
      <c r="F134" s="221">
        <f t="shared" si="245"/>
        <v>4.8000000000000001E-2</v>
      </c>
      <c r="G134" s="221">
        <f t="shared" si="183"/>
        <v>2.4E-2</v>
      </c>
      <c r="H134" s="221">
        <f t="shared" si="184"/>
        <v>0.76800000000000002</v>
      </c>
      <c r="I134" s="221">
        <f t="shared" si="185"/>
        <v>0.38400000000000001</v>
      </c>
      <c r="J134" s="551">
        <f t="shared" si="186"/>
        <v>12</v>
      </c>
      <c r="K134" s="451">
        <f t="shared" si="187"/>
        <v>19.584</v>
      </c>
      <c r="L134" s="451">
        <f t="shared" si="188"/>
        <v>31.584</v>
      </c>
      <c r="M134" s="451"/>
      <c r="N134" s="221">
        <f t="shared" si="189"/>
        <v>0.62006079027355621</v>
      </c>
      <c r="O134" s="176">
        <f t="shared" si="190"/>
        <v>3.3483282674772035</v>
      </c>
      <c r="P134" s="176">
        <f t="shared" si="191"/>
        <v>1.6741641337386017</v>
      </c>
      <c r="Q134" s="221">
        <f t="shared" si="192"/>
        <v>0.20927051671732522</v>
      </c>
      <c r="R134" s="221">
        <f t="shared" si="193"/>
        <v>0.20927051671732522</v>
      </c>
      <c r="S134" s="221">
        <f t="shared" si="194"/>
        <v>16</v>
      </c>
      <c r="T134" s="221">
        <f t="shared" si="195"/>
        <v>0.34405228758169937</v>
      </c>
      <c r="U134" s="221">
        <f t="shared" si="196"/>
        <v>0.86013071895424842</v>
      </c>
      <c r="V134" s="221">
        <f t="shared" si="197"/>
        <v>0.52704088171216201</v>
      </c>
      <c r="W134" s="201">
        <f t="shared" si="198"/>
        <v>350</v>
      </c>
      <c r="X134" s="451">
        <f t="shared" si="199"/>
        <v>350</v>
      </c>
      <c r="Z134" s="221">
        <f t="shared" si="200"/>
        <v>0.70864090316977857</v>
      </c>
      <c r="AA134" s="177">
        <f t="shared" si="201"/>
        <v>1.0855405992184108</v>
      </c>
      <c r="AB134" s="177">
        <f t="shared" si="202"/>
        <v>0.1076961858920636</v>
      </c>
      <c r="AC134" s="177"/>
      <c r="AD134" s="177">
        <f t="shared" si="203"/>
        <v>0.4595588235294118</v>
      </c>
      <c r="AE134" s="555">
        <f t="shared" si="204"/>
        <v>870.40000000000032</v>
      </c>
      <c r="AF134" s="538">
        <f t="shared" si="205"/>
        <v>1.9301470588235291E-2</v>
      </c>
      <c r="AH134" s="177">
        <f t="shared" si="206"/>
        <v>0.46843203501529596</v>
      </c>
      <c r="AI134" s="177">
        <f t="shared" si="207"/>
        <v>0.46843203501529596</v>
      </c>
      <c r="AJ134" s="177">
        <f t="shared" si="208"/>
        <v>1.3247644703817008</v>
      </c>
      <c r="AL134" s="555">
        <f t="shared" si="209"/>
        <v>48</v>
      </c>
      <c r="AM134" s="469">
        <f t="shared" si="210"/>
        <v>350</v>
      </c>
      <c r="AO134" s="469">
        <f t="shared" si="211"/>
        <v>48</v>
      </c>
      <c r="AP134" s="469">
        <f t="shared" si="212"/>
        <v>350</v>
      </c>
      <c r="AR134" s="5">
        <f t="shared" ref="AR134:AR197" si="249">1/AM134*1000</f>
        <v>2.8571428571428572</v>
      </c>
      <c r="AS134" s="5">
        <f t="shared" si="246"/>
        <v>1.1710800875382399</v>
      </c>
      <c r="AT134" s="5">
        <f t="shared" si="247"/>
        <v>1.6860627696046173</v>
      </c>
      <c r="AU134" s="177">
        <f t="shared" si="248"/>
        <v>0.40987803063838396</v>
      </c>
      <c r="AW134" s="5">
        <f t="shared" si="216"/>
        <v>0.35132402626147197</v>
      </c>
      <c r="AX134" s="5"/>
      <c r="AY134" s="5">
        <f t="shared" si="217"/>
        <v>0.17566201313073598</v>
      </c>
      <c r="AZ134" s="5"/>
      <c r="BA134" s="5">
        <f t="shared" si="218"/>
        <v>7.4936123093538545E-2</v>
      </c>
      <c r="BB134" s="5"/>
      <c r="BC134" s="5"/>
      <c r="BD134" s="177">
        <f t="shared" si="219"/>
        <v>0.17314632609726072</v>
      </c>
      <c r="BE134" s="177">
        <f t="shared" si="220"/>
        <v>0.16620605409311071</v>
      </c>
      <c r="BF134" s="177">
        <f t="shared" si="221"/>
        <v>8.3103027046555353E-2</v>
      </c>
      <c r="BG134" s="177"/>
      <c r="BH134" s="538">
        <f t="shared" si="222"/>
        <v>1.0492877584342631E-2</v>
      </c>
      <c r="BI134" s="538">
        <f t="shared" si="223"/>
        <v>2.5891175439365435E-2</v>
      </c>
      <c r="BJ134" s="538">
        <f t="shared" si="224"/>
        <v>4.3749999999999995E-3</v>
      </c>
      <c r="BK134" s="538">
        <f t="shared" si="225"/>
        <v>1.7457108480000001E-2</v>
      </c>
      <c r="BL134">
        <f t="shared" si="226"/>
        <v>3.48E-3</v>
      </c>
      <c r="BM134">
        <f t="shared" si="227"/>
        <v>6.1250000000000006E-6</v>
      </c>
      <c r="BN134">
        <f t="shared" si="228"/>
        <v>6.3241255996343795E-2</v>
      </c>
      <c r="BO134" s="469">
        <f t="shared" si="229"/>
        <v>61.696161503708062</v>
      </c>
      <c r="BP134" s="177">
        <f t="shared" si="230"/>
        <v>1.9200000000000002E-2</v>
      </c>
      <c r="BQ134" s="177">
        <f t="shared" si="231"/>
        <v>9.6000000000000009E-3</v>
      </c>
      <c r="BR134" s="538"/>
      <c r="BT134" s="469">
        <f t="shared" si="232"/>
        <v>28.800000000000004</v>
      </c>
      <c r="BU134" s="538">
        <f t="shared" si="233"/>
        <v>2.9979650240978951E-3</v>
      </c>
      <c r="BV134" s="538">
        <f t="shared" si="234"/>
        <v>8.2873357251606115E-4</v>
      </c>
      <c r="BW134" s="538">
        <f t="shared" si="235"/>
        <v>3.4530565521502553E-4</v>
      </c>
      <c r="BX134" s="538">
        <f t="shared" si="236"/>
        <v>0</v>
      </c>
      <c r="BY134" s="538">
        <f t="shared" si="180"/>
        <v>4.6742048262411792E-3</v>
      </c>
      <c r="BZ134" s="538">
        <f t="shared" ref="BZ134:BZ197" si="250">SUM(BU134:BX134)</f>
        <v>4.1720042518289813E-3</v>
      </c>
      <c r="CA134" s="641">
        <f t="shared" si="237"/>
        <v>3.8400000000000005E-3</v>
      </c>
      <c r="CB134" s="469">
        <f t="shared" si="238"/>
        <v>16.858213329899144</v>
      </c>
      <c r="CC134" s="177">
        <f t="shared" ref="CC134:CC197" si="251">SUM(BN134,BP134:BS134,BY134, CA134)</f>
        <v>0.10055546082258497</v>
      </c>
      <c r="CD134" s="5">
        <f t="shared" si="239"/>
        <v>1.1520000000000001</v>
      </c>
      <c r="CE134" s="177">
        <f t="shared" si="240"/>
        <v>0.91971975376120463</v>
      </c>
      <c r="CF134" s="5">
        <f t="shared" si="241"/>
        <v>91.971975376120469</v>
      </c>
      <c r="CG134">
        <f t="shared" si="242"/>
        <v>24</v>
      </c>
      <c r="CI134" s="571">
        <f t="shared" si="243"/>
        <v>-50</v>
      </c>
      <c r="CJ134">
        <f t="shared" si="244"/>
        <v>-50</v>
      </c>
    </row>
    <row r="135" spans="5:88" x14ac:dyDescent="0.25">
      <c r="E135" s="174">
        <v>25</v>
      </c>
      <c r="F135" s="221">
        <f t="shared" si="245"/>
        <v>0.05</v>
      </c>
      <c r="G135" s="221">
        <f t="shared" si="183"/>
        <v>2.5000000000000001E-2</v>
      </c>
      <c r="H135" s="221">
        <f t="shared" si="184"/>
        <v>0.8</v>
      </c>
      <c r="I135" s="221">
        <f t="shared" si="185"/>
        <v>0.4</v>
      </c>
      <c r="J135" s="551">
        <f t="shared" si="186"/>
        <v>12</v>
      </c>
      <c r="K135" s="451">
        <f t="shared" si="187"/>
        <v>19.584</v>
      </c>
      <c r="L135" s="451">
        <f t="shared" si="188"/>
        <v>31.584</v>
      </c>
      <c r="M135" s="451"/>
      <c r="N135" s="221">
        <f t="shared" si="189"/>
        <v>0.62006079027355621</v>
      </c>
      <c r="O135" s="176">
        <f t="shared" si="190"/>
        <v>3.3483282674772035</v>
      </c>
      <c r="P135" s="176">
        <f t="shared" si="191"/>
        <v>1.6741641337386017</v>
      </c>
      <c r="Q135" s="221">
        <f t="shared" si="192"/>
        <v>0.20927051671732522</v>
      </c>
      <c r="R135" s="221">
        <f t="shared" si="193"/>
        <v>0.20927051671732522</v>
      </c>
      <c r="S135" s="221">
        <f t="shared" si="194"/>
        <v>16</v>
      </c>
      <c r="T135" s="221">
        <f t="shared" si="195"/>
        <v>0.35838779956427019</v>
      </c>
      <c r="U135" s="221">
        <f t="shared" si="196"/>
        <v>0.89596949891067557</v>
      </c>
      <c r="V135" s="221">
        <f t="shared" si="197"/>
        <v>0.54900091845016885</v>
      </c>
      <c r="W135" s="201">
        <f t="shared" si="198"/>
        <v>350</v>
      </c>
      <c r="X135" s="451">
        <f t="shared" si="199"/>
        <v>350</v>
      </c>
      <c r="Z135" s="221">
        <f t="shared" si="200"/>
        <v>0.70864090316977857</v>
      </c>
      <c r="AA135" s="177">
        <f t="shared" si="201"/>
        <v>1.0855405992184108</v>
      </c>
      <c r="AB135" s="177">
        <f t="shared" si="202"/>
        <v>0.1076961858920636</v>
      </c>
      <c r="AC135" s="177"/>
      <c r="AD135" s="177">
        <f t="shared" si="203"/>
        <v>0.4595588235294118</v>
      </c>
      <c r="AE135" s="555">
        <f t="shared" si="204"/>
        <v>906.66666666666686</v>
      </c>
      <c r="AF135" s="538">
        <f t="shared" si="205"/>
        <v>1.9301470588235291E-2</v>
      </c>
      <c r="AH135" s="177">
        <f t="shared" si="206"/>
        <v>0.4780914437337575</v>
      </c>
      <c r="AI135" s="177">
        <f t="shared" si="207"/>
        <v>0.4780914437337575</v>
      </c>
      <c r="AJ135" s="177">
        <f t="shared" si="208"/>
        <v>1.3319195879509313</v>
      </c>
      <c r="AL135" s="555">
        <f t="shared" si="209"/>
        <v>50</v>
      </c>
      <c r="AM135" s="469">
        <f t="shared" si="210"/>
        <v>350</v>
      </c>
      <c r="AO135" s="469">
        <f t="shared" si="211"/>
        <v>50</v>
      </c>
      <c r="AP135" s="469">
        <f t="shared" si="212"/>
        <v>350</v>
      </c>
      <c r="AR135" s="5">
        <f t="shared" si="249"/>
        <v>2.8571428571428572</v>
      </c>
      <c r="AS135" s="5">
        <f t="shared" si="246"/>
        <v>1.195228609334394</v>
      </c>
      <c r="AT135" s="5">
        <f t="shared" si="247"/>
        <v>1.6619142478084632</v>
      </c>
      <c r="AU135" s="177">
        <f t="shared" si="248"/>
        <v>0.41833001326703789</v>
      </c>
      <c r="AW135" s="5">
        <f t="shared" si="216"/>
        <v>0.37350894041699811</v>
      </c>
      <c r="AX135" s="5"/>
      <c r="AY135" s="5">
        <f t="shared" si="217"/>
        <v>0.18675447020849906</v>
      </c>
      <c r="AZ135" s="5"/>
      <c r="BA135" s="5">
        <f t="shared" si="218"/>
        <v>7.6940474435577E-2</v>
      </c>
      <c r="BB135" s="5"/>
      <c r="BC135" s="5"/>
      <c r="BD135" s="177">
        <f t="shared" si="219"/>
        <v>0.17852944551413316</v>
      </c>
      <c r="BE135" s="177">
        <f t="shared" si="220"/>
        <v>0.16841418139791881</v>
      </c>
      <c r="BF135" s="177">
        <f t="shared" si="221"/>
        <v>8.4207090698959403E-2</v>
      </c>
      <c r="BG135" s="177"/>
      <c r="BH135" s="538">
        <f t="shared" si="222"/>
        <v>1.1155467020454345E-2</v>
      </c>
      <c r="BI135" s="538">
        <f t="shared" si="223"/>
        <v>2.6425070278052246E-2</v>
      </c>
      <c r="BJ135" s="538">
        <f t="shared" si="224"/>
        <v>4.3749999999999995E-3</v>
      </c>
      <c r="BK135" s="538">
        <f t="shared" si="225"/>
        <v>1.7457108480000001E-2</v>
      </c>
      <c r="BL135">
        <f t="shared" si="226"/>
        <v>3.48E-3</v>
      </c>
      <c r="BM135">
        <f t="shared" si="227"/>
        <v>6.1250000000000006E-6</v>
      </c>
      <c r="BN135">
        <f t="shared" si="228"/>
        <v>6.4537589037821724E-2</v>
      </c>
      <c r="BO135" s="469">
        <f t="shared" si="229"/>
        <v>62.892645778506591</v>
      </c>
      <c r="BP135" s="177">
        <f t="shared" si="230"/>
        <v>2.0000000000000004E-2</v>
      </c>
      <c r="BQ135" s="177">
        <f t="shared" si="231"/>
        <v>1.0000000000000002E-2</v>
      </c>
      <c r="BR135" s="538"/>
      <c r="BT135" s="469">
        <f t="shared" si="232"/>
        <v>30.000000000000007</v>
      </c>
      <c r="BU135" s="538">
        <f t="shared" si="233"/>
        <v>3.1872762915583844E-3</v>
      </c>
      <c r="BV135" s="538">
        <f t="shared" si="234"/>
        <v>8.5090009487793301E-4</v>
      </c>
      <c r="BW135" s="538">
        <f t="shared" si="235"/>
        <v>3.5454170619913876E-4</v>
      </c>
      <c r="BX135" s="538">
        <f t="shared" si="236"/>
        <v>0</v>
      </c>
      <c r="BY135" s="538">
        <f t="shared" si="180"/>
        <v>4.9215737906504655E-3</v>
      </c>
      <c r="BZ135" s="538">
        <f t="shared" si="250"/>
        <v>4.392718092635456E-3</v>
      </c>
      <c r="CA135" s="641">
        <f t="shared" si="237"/>
        <v>4.0000000000000018E-3</v>
      </c>
      <c r="CB135" s="469">
        <f t="shared" si="238"/>
        <v>17.70700997592138</v>
      </c>
      <c r="CC135" s="177">
        <f t="shared" si="251"/>
        <v>0.10345916282847219</v>
      </c>
      <c r="CD135" s="5">
        <f t="shared" si="239"/>
        <v>1.2000000000000002</v>
      </c>
      <c r="CE135" s="177">
        <f t="shared" si="240"/>
        <v>0.92062723115623468</v>
      </c>
      <c r="CF135" s="5">
        <f t="shared" si="241"/>
        <v>92.06272311562347</v>
      </c>
      <c r="CG135">
        <f t="shared" si="242"/>
        <v>25</v>
      </c>
      <c r="CI135" s="571">
        <f t="shared" si="243"/>
        <v>-50</v>
      </c>
      <c r="CJ135">
        <f t="shared" si="244"/>
        <v>-50</v>
      </c>
    </row>
    <row r="136" spans="5:88" x14ac:dyDescent="0.25">
      <c r="E136" s="174">
        <v>26</v>
      </c>
      <c r="F136" s="221">
        <f t="shared" si="245"/>
        <v>5.2000000000000005E-2</v>
      </c>
      <c r="G136" s="221">
        <f t="shared" si="183"/>
        <v>2.6000000000000002E-2</v>
      </c>
      <c r="H136" s="221">
        <f t="shared" si="184"/>
        <v>0.83200000000000007</v>
      </c>
      <c r="I136" s="221">
        <f t="shared" si="185"/>
        <v>0.41600000000000004</v>
      </c>
      <c r="J136" s="551">
        <f t="shared" si="186"/>
        <v>12</v>
      </c>
      <c r="K136" s="451">
        <f t="shared" si="187"/>
        <v>19.584</v>
      </c>
      <c r="L136" s="451">
        <f t="shared" si="188"/>
        <v>31.584</v>
      </c>
      <c r="M136" s="451"/>
      <c r="N136" s="221">
        <f t="shared" si="189"/>
        <v>0.62006079027355621</v>
      </c>
      <c r="O136" s="176">
        <f t="shared" si="190"/>
        <v>3.3483282674772035</v>
      </c>
      <c r="P136" s="176">
        <f t="shared" si="191"/>
        <v>1.6741641337386017</v>
      </c>
      <c r="Q136" s="221">
        <f t="shared" si="192"/>
        <v>0.20927051671732522</v>
      </c>
      <c r="R136" s="221">
        <f t="shared" si="193"/>
        <v>0.20927051671732522</v>
      </c>
      <c r="S136" s="221">
        <f t="shared" si="194"/>
        <v>16</v>
      </c>
      <c r="T136" s="221">
        <f t="shared" si="195"/>
        <v>0.37272331154684102</v>
      </c>
      <c r="U136" s="221">
        <f t="shared" si="196"/>
        <v>0.93180827886710249</v>
      </c>
      <c r="V136" s="221">
        <f t="shared" si="197"/>
        <v>0.57096095518817558</v>
      </c>
      <c r="W136" s="201">
        <f t="shared" si="198"/>
        <v>350</v>
      </c>
      <c r="X136" s="451">
        <f t="shared" si="199"/>
        <v>350</v>
      </c>
      <c r="Z136" s="221">
        <f t="shared" si="200"/>
        <v>0.70864090316977857</v>
      </c>
      <c r="AA136" s="177">
        <f t="shared" si="201"/>
        <v>1.0855405992184108</v>
      </c>
      <c r="AB136" s="177">
        <f t="shared" si="202"/>
        <v>0.1076961858920636</v>
      </c>
      <c r="AC136" s="177"/>
      <c r="AD136" s="177">
        <f t="shared" si="203"/>
        <v>0.4595588235294118</v>
      </c>
      <c r="AE136" s="555">
        <f t="shared" si="204"/>
        <v>942.93333333333362</v>
      </c>
      <c r="AF136" s="538">
        <f t="shared" si="205"/>
        <v>1.9301470588235291E-2</v>
      </c>
      <c r="AH136" s="177">
        <f t="shared" si="206"/>
        <v>0.48755952017603532</v>
      </c>
      <c r="AI136" s="177">
        <f t="shared" si="207"/>
        <v>0.48755952017603532</v>
      </c>
      <c r="AJ136" s="177">
        <f t="shared" si="208"/>
        <v>1.3389329779081742</v>
      </c>
      <c r="AL136" s="555">
        <f t="shared" si="209"/>
        <v>52.000000000000007</v>
      </c>
      <c r="AM136" s="469">
        <f t="shared" si="210"/>
        <v>350</v>
      </c>
      <c r="AO136" s="469">
        <f t="shared" si="211"/>
        <v>52.000000000000007</v>
      </c>
      <c r="AP136" s="469">
        <f t="shared" si="212"/>
        <v>350</v>
      </c>
      <c r="AR136" s="5">
        <f t="shared" si="249"/>
        <v>2.8571428571428572</v>
      </c>
      <c r="AS136" s="5">
        <f t="shared" si="246"/>
        <v>1.2188988004400882</v>
      </c>
      <c r="AT136" s="5">
        <f t="shared" si="247"/>
        <v>1.638244056702769</v>
      </c>
      <c r="AU136" s="177">
        <f t="shared" si="248"/>
        <v>0.42661458015403086</v>
      </c>
      <c r="AW136" s="5">
        <f t="shared" si="216"/>
        <v>0.39614211014302875</v>
      </c>
      <c r="AX136" s="5"/>
      <c r="AY136" s="5">
        <f t="shared" si="217"/>
        <v>0.19807105507151437</v>
      </c>
      <c r="AZ136" s="5"/>
      <c r="BA136" s="5">
        <f t="shared" si="218"/>
        <v>7.8878417544948135E-2</v>
      </c>
      <c r="BB136" s="5"/>
      <c r="BC136" s="5"/>
      <c r="BD136" s="177">
        <f t="shared" si="219"/>
        <v>0.18385898599797923</v>
      </c>
      <c r="BE136" s="177">
        <f t="shared" si="220"/>
        <v>0.17052196293665425</v>
      </c>
      <c r="BF136" s="177">
        <f t="shared" si="221"/>
        <v>8.5260981468327127E-2</v>
      </c>
      <c r="BG136" s="177"/>
      <c r="BH136" s="538">
        <f t="shared" si="222"/>
        <v>1.1831444356271792E-2</v>
      </c>
      <c r="BI136" s="538">
        <f t="shared" si="223"/>
        <v>2.6948389799169824E-2</v>
      </c>
      <c r="BJ136" s="538">
        <f t="shared" si="224"/>
        <v>4.3749999999999995E-3</v>
      </c>
      <c r="BK136" s="538">
        <f t="shared" si="225"/>
        <v>1.7457108480000001E-2</v>
      </c>
      <c r="BL136">
        <f t="shared" si="226"/>
        <v>3.48E-3</v>
      </c>
      <c r="BM136">
        <f t="shared" si="227"/>
        <v>6.1250000000000006E-6</v>
      </c>
      <c r="BN136">
        <f t="shared" si="228"/>
        <v>6.5839032745806603E-2</v>
      </c>
      <c r="BO136" s="469">
        <f t="shared" si="229"/>
        <v>64.091942635441612</v>
      </c>
      <c r="BP136" s="177">
        <f t="shared" si="230"/>
        <v>2.0800000000000003E-2</v>
      </c>
      <c r="BQ136" s="177">
        <f t="shared" si="231"/>
        <v>1.0400000000000001E-2</v>
      </c>
      <c r="BR136" s="538"/>
      <c r="BT136" s="469">
        <f t="shared" si="232"/>
        <v>31.200000000000006</v>
      </c>
      <c r="BU136" s="538">
        <f t="shared" si="233"/>
        <v>3.3804126732205121E-3</v>
      </c>
      <c r="BV136" s="538">
        <f t="shared" si="234"/>
        <v>8.7233219531309065E-4</v>
      </c>
      <c r="BW136" s="538">
        <f t="shared" si="235"/>
        <v>3.6347174804712113E-4</v>
      </c>
      <c r="BX136" s="538">
        <f t="shared" si="236"/>
        <v>0</v>
      </c>
      <c r="BY136" s="538">
        <f t="shared" si="180"/>
        <v>5.1720726431846225E-3</v>
      </c>
      <c r="BZ136" s="538">
        <f t="shared" si="250"/>
        <v>4.6162166165807242E-3</v>
      </c>
      <c r="CA136" s="641">
        <f t="shared" si="237"/>
        <v>4.1600000000000014E-3</v>
      </c>
      <c r="CB136" s="469">
        <f t="shared" si="238"/>
        <v>18.564505876346072</v>
      </c>
      <c r="CC136" s="177">
        <f t="shared" si="251"/>
        <v>0.10637110538899122</v>
      </c>
      <c r="CD136" s="5">
        <f t="shared" si="239"/>
        <v>1.2480000000000002</v>
      </c>
      <c r="CE136" s="177">
        <f t="shared" si="240"/>
        <v>0.92146088692696948</v>
      </c>
      <c r="CF136" s="5">
        <f t="shared" si="241"/>
        <v>92.146088692696949</v>
      </c>
      <c r="CG136">
        <f t="shared" si="242"/>
        <v>26</v>
      </c>
      <c r="CI136" s="571">
        <f t="shared" si="243"/>
        <v>-50</v>
      </c>
      <c r="CJ136">
        <f t="shared" si="244"/>
        <v>-50</v>
      </c>
    </row>
    <row r="137" spans="5:88" x14ac:dyDescent="0.25">
      <c r="E137" s="174">
        <v>27</v>
      </c>
      <c r="F137" s="221">
        <f t="shared" si="245"/>
        <v>5.4000000000000006E-2</v>
      </c>
      <c r="G137" s="221">
        <f t="shared" si="183"/>
        <v>2.7000000000000003E-2</v>
      </c>
      <c r="H137" s="221">
        <f t="shared" si="184"/>
        <v>0.8640000000000001</v>
      </c>
      <c r="I137" s="221">
        <f t="shared" si="185"/>
        <v>0.43200000000000005</v>
      </c>
      <c r="J137" s="551">
        <f t="shared" si="186"/>
        <v>12</v>
      </c>
      <c r="K137" s="451">
        <f t="shared" si="187"/>
        <v>19.584</v>
      </c>
      <c r="L137" s="451">
        <f t="shared" si="188"/>
        <v>31.584</v>
      </c>
      <c r="M137" s="451"/>
      <c r="N137" s="221">
        <f t="shared" si="189"/>
        <v>0.62006079027355621</v>
      </c>
      <c r="O137" s="176">
        <f t="shared" si="190"/>
        <v>3.3483282674772035</v>
      </c>
      <c r="P137" s="176">
        <f t="shared" si="191"/>
        <v>1.6741641337386017</v>
      </c>
      <c r="Q137" s="221">
        <f t="shared" si="192"/>
        <v>0.20927051671732522</v>
      </c>
      <c r="R137" s="221">
        <f t="shared" si="193"/>
        <v>0.20927051671732522</v>
      </c>
      <c r="S137" s="221">
        <f t="shared" si="194"/>
        <v>16</v>
      </c>
      <c r="T137" s="221">
        <f t="shared" si="195"/>
        <v>0.38705882352941179</v>
      </c>
      <c r="U137" s="221">
        <f t="shared" si="196"/>
        <v>0.96764705882352953</v>
      </c>
      <c r="V137" s="221">
        <f t="shared" si="197"/>
        <v>0.59292099192618231</v>
      </c>
      <c r="W137" s="201">
        <f t="shared" si="198"/>
        <v>350</v>
      </c>
      <c r="X137" s="451">
        <f t="shared" si="199"/>
        <v>350</v>
      </c>
      <c r="Z137" s="221">
        <f t="shared" si="200"/>
        <v>0.70864090316977857</v>
      </c>
      <c r="AA137" s="177">
        <f t="shared" si="201"/>
        <v>1.0855405992184108</v>
      </c>
      <c r="AB137" s="177">
        <f t="shared" si="202"/>
        <v>0.1076961858920636</v>
      </c>
      <c r="AC137" s="177"/>
      <c r="AD137" s="177">
        <f t="shared" si="203"/>
        <v>0.4595588235294118</v>
      </c>
      <c r="AE137" s="555">
        <f t="shared" si="204"/>
        <v>979.20000000000027</v>
      </c>
      <c r="AF137" s="538">
        <f t="shared" si="205"/>
        <v>1.9301470588235291E-2</v>
      </c>
      <c r="AH137" s="177">
        <f t="shared" si="206"/>
        <v>0.49684720272649507</v>
      </c>
      <c r="AI137" s="177">
        <f t="shared" si="207"/>
        <v>0.49684720272649507</v>
      </c>
      <c r="AJ137" s="177">
        <f t="shared" si="208"/>
        <v>1.3458127427603666</v>
      </c>
      <c r="AL137" s="555">
        <f t="shared" si="209"/>
        <v>54.000000000000007</v>
      </c>
      <c r="AM137" s="469">
        <f t="shared" si="210"/>
        <v>350</v>
      </c>
      <c r="AO137" s="469">
        <f t="shared" si="211"/>
        <v>54.000000000000007</v>
      </c>
      <c r="AP137" s="469">
        <f t="shared" si="212"/>
        <v>350</v>
      </c>
      <c r="AR137" s="5">
        <f t="shared" si="249"/>
        <v>2.8571428571428572</v>
      </c>
      <c r="AS137" s="5">
        <f t="shared" si="246"/>
        <v>1.2421180068162379</v>
      </c>
      <c r="AT137" s="5">
        <f t="shared" si="247"/>
        <v>1.6150248503266194</v>
      </c>
      <c r="AU137" s="177">
        <f t="shared" si="248"/>
        <v>0.43474130238568326</v>
      </c>
      <c r="AW137" s="5">
        <f t="shared" si="216"/>
        <v>0.41921482730048037</v>
      </c>
      <c r="AX137" s="5"/>
      <c r="AY137" s="5">
        <f t="shared" si="217"/>
        <v>0.20960741365024019</v>
      </c>
      <c r="AZ137" s="5"/>
      <c r="BA137" s="5">
        <f t="shared" si="218"/>
        <v>8.0751242516330965E-2</v>
      </c>
      <c r="BB137" s="5"/>
      <c r="BC137" s="5"/>
      <c r="BD137" s="177">
        <f t="shared" si="219"/>
        <v>0.18913751239853943</v>
      </c>
      <c r="BE137" s="177">
        <f t="shared" si="220"/>
        <v>0.17253445464955758</v>
      </c>
      <c r="BF137" s="177">
        <f t="shared" si="221"/>
        <v>8.6267227324778789E-2</v>
      </c>
      <c r="BG137" s="177"/>
      <c r="BH137" s="538">
        <f t="shared" si="222"/>
        <v>1.2520549508707679E-2</v>
      </c>
      <c r="BI137" s="538">
        <f t="shared" si="223"/>
        <v>2.7461738589098835E-2</v>
      </c>
      <c r="BJ137" s="538">
        <f t="shared" si="224"/>
        <v>4.3749999999999995E-3</v>
      </c>
      <c r="BK137" s="538">
        <f t="shared" si="225"/>
        <v>1.7457108480000001E-2</v>
      </c>
      <c r="BL137">
        <f t="shared" si="226"/>
        <v>3.48E-3</v>
      </c>
      <c r="BM137">
        <f t="shared" si="227"/>
        <v>6.1250000000000006E-6</v>
      </c>
      <c r="BN137">
        <f t="shared" si="228"/>
        <v>6.7145905582166945E-2</v>
      </c>
      <c r="BO137" s="469">
        <f t="shared" si="229"/>
        <v>65.294396577806509</v>
      </c>
      <c r="BP137" s="177">
        <f t="shared" si="230"/>
        <v>2.1600000000000005E-2</v>
      </c>
      <c r="BQ137" s="177">
        <f t="shared" si="231"/>
        <v>1.0800000000000002E-2</v>
      </c>
      <c r="BR137" s="538"/>
      <c r="BT137" s="469">
        <f t="shared" si="232"/>
        <v>32.400000000000006</v>
      </c>
      <c r="BU137" s="538">
        <f t="shared" si="233"/>
        <v>3.5772998596307658E-3</v>
      </c>
      <c r="BV137" s="538">
        <f t="shared" si="234"/>
        <v>8.9304414123660722E-4</v>
      </c>
      <c r="BW137" s="538">
        <f t="shared" si="235"/>
        <v>3.7210172551525303E-4</v>
      </c>
      <c r="BX137" s="538">
        <f t="shared" si="236"/>
        <v>0</v>
      </c>
      <c r="BY137" s="538">
        <f t="shared" si="180"/>
        <v>5.4256410833466977E-3</v>
      </c>
      <c r="BZ137" s="538">
        <f t="shared" si="250"/>
        <v>4.8424457263826267E-3</v>
      </c>
      <c r="CA137" s="641">
        <f t="shared" si="237"/>
        <v>4.3200000000000009E-3</v>
      </c>
      <c r="CB137" s="469">
        <f t="shared" si="238"/>
        <v>19.430532536111954</v>
      </c>
      <c r="CC137" s="177">
        <f t="shared" si="251"/>
        <v>0.10929154666551366</v>
      </c>
      <c r="CD137" s="5">
        <f t="shared" si="239"/>
        <v>1.2960000000000003</v>
      </c>
      <c r="CE137" s="177">
        <f t="shared" si="240"/>
        <v>0.9222285603831879</v>
      </c>
      <c r="CF137" s="5">
        <f t="shared" si="241"/>
        <v>92.222856038318795</v>
      </c>
      <c r="CG137">
        <f t="shared" si="242"/>
        <v>27</v>
      </c>
      <c r="CI137" s="571">
        <f t="shared" si="243"/>
        <v>-50</v>
      </c>
      <c r="CJ137">
        <f t="shared" si="244"/>
        <v>-50</v>
      </c>
    </row>
    <row r="138" spans="5:88" x14ac:dyDescent="0.25">
      <c r="E138" s="174">
        <v>28</v>
      </c>
      <c r="F138" s="221">
        <f t="shared" si="245"/>
        <v>5.6000000000000008E-2</v>
      </c>
      <c r="G138" s="221">
        <f t="shared" si="183"/>
        <v>2.8000000000000004E-2</v>
      </c>
      <c r="H138" s="221">
        <f t="shared" si="184"/>
        <v>0.89600000000000013</v>
      </c>
      <c r="I138" s="221">
        <f t="shared" si="185"/>
        <v>0.44800000000000006</v>
      </c>
      <c r="J138" s="551">
        <f t="shared" si="186"/>
        <v>12</v>
      </c>
      <c r="K138" s="451">
        <f t="shared" si="187"/>
        <v>19.584</v>
      </c>
      <c r="L138" s="451">
        <f t="shared" si="188"/>
        <v>31.584</v>
      </c>
      <c r="M138" s="451"/>
      <c r="N138" s="221">
        <f t="shared" si="189"/>
        <v>0.62006079027355621</v>
      </c>
      <c r="O138" s="176">
        <f t="shared" si="190"/>
        <v>3.3483282674772035</v>
      </c>
      <c r="P138" s="176">
        <f t="shared" si="191"/>
        <v>1.6741641337386017</v>
      </c>
      <c r="Q138" s="221">
        <f t="shared" si="192"/>
        <v>0.20927051671732522</v>
      </c>
      <c r="R138" s="221">
        <f t="shared" si="193"/>
        <v>0.20927051671732522</v>
      </c>
      <c r="S138" s="221">
        <f t="shared" si="194"/>
        <v>16</v>
      </c>
      <c r="T138" s="221">
        <f t="shared" si="195"/>
        <v>0.40139433551198261</v>
      </c>
      <c r="U138" s="221">
        <f t="shared" si="196"/>
        <v>1.0034858387799566</v>
      </c>
      <c r="V138" s="221">
        <f t="shared" si="197"/>
        <v>0.61488102866418903</v>
      </c>
      <c r="W138" s="201">
        <f t="shared" si="198"/>
        <v>350</v>
      </c>
      <c r="X138" s="451">
        <f t="shared" si="199"/>
        <v>350</v>
      </c>
      <c r="Z138" s="221">
        <f t="shared" si="200"/>
        <v>0.70864090316977857</v>
      </c>
      <c r="AA138" s="177">
        <f t="shared" si="201"/>
        <v>1.0855405992184108</v>
      </c>
      <c r="AB138" s="177">
        <f t="shared" si="202"/>
        <v>0.1076961858920636</v>
      </c>
      <c r="AC138" s="177"/>
      <c r="AD138" s="177">
        <f t="shared" si="203"/>
        <v>0.4595588235294118</v>
      </c>
      <c r="AE138" s="555">
        <f t="shared" si="204"/>
        <v>1015.466666666667</v>
      </c>
      <c r="AF138" s="538">
        <f t="shared" si="205"/>
        <v>1.9301470588235291E-2</v>
      </c>
      <c r="AH138" s="177">
        <f t="shared" si="206"/>
        <v>0.50596442562694077</v>
      </c>
      <c r="AI138" s="177">
        <f t="shared" si="207"/>
        <v>0.50596442562694077</v>
      </c>
      <c r="AJ138" s="177">
        <f t="shared" si="208"/>
        <v>1.3525662412051414</v>
      </c>
      <c r="AL138" s="555">
        <f t="shared" si="209"/>
        <v>56.000000000000007</v>
      </c>
      <c r="AM138" s="469">
        <f t="shared" si="210"/>
        <v>350</v>
      </c>
      <c r="AO138" s="469">
        <f t="shared" si="211"/>
        <v>56.000000000000007</v>
      </c>
      <c r="AP138" s="469">
        <f t="shared" si="212"/>
        <v>350</v>
      </c>
      <c r="AR138" s="5">
        <f t="shared" si="249"/>
        <v>2.8571428571428572</v>
      </c>
      <c r="AS138" s="5">
        <f t="shared" si="246"/>
        <v>1.264911064067352</v>
      </c>
      <c r="AT138" s="5">
        <f t="shared" si="247"/>
        <v>1.5922317930755052</v>
      </c>
      <c r="AU138" s="177">
        <f t="shared" si="248"/>
        <v>0.44271887242357316</v>
      </c>
      <c r="AW138" s="5">
        <f t="shared" si="216"/>
        <v>0.44271887242357327</v>
      </c>
      <c r="AX138" s="5"/>
      <c r="AY138" s="5">
        <f t="shared" si="217"/>
        <v>0.22135943621178664</v>
      </c>
      <c r="AZ138" s="5"/>
      <c r="BA138" s="5">
        <f t="shared" si="218"/>
        <v>8.2560167048359542E-2</v>
      </c>
      <c r="BB138" s="5"/>
      <c r="BC138" s="5"/>
      <c r="BD138" s="177">
        <f t="shared" si="219"/>
        <v>0.1943673766697443</v>
      </c>
      <c r="BE138" s="177">
        <f t="shared" si="220"/>
        <v>0.17445624087635062</v>
      </c>
      <c r="BF138" s="177">
        <f t="shared" si="221"/>
        <v>8.7228120438175308E-2</v>
      </c>
      <c r="BG138" s="177"/>
      <c r="BH138" s="538">
        <f t="shared" si="222"/>
        <v>1.322253698971739E-2</v>
      </c>
      <c r="BI138" s="538">
        <f t="shared" si="223"/>
        <v>2.7965665733252272E-2</v>
      </c>
      <c r="BJ138" s="538">
        <f t="shared" si="224"/>
        <v>4.3749999999999995E-3</v>
      </c>
      <c r="BK138" s="538">
        <f t="shared" si="225"/>
        <v>1.7457108480000001E-2</v>
      </c>
      <c r="BL138">
        <f t="shared" si="226"/>
        <v>3.48E-3</v>
      </c>
      <c r="BM138">
        <f t="shared" si="227"/>
        <v>6.1250000000000006E-6</v>
      </c>
      <c r="BN138">
        <f t="shared" si="228"/>
        <v>6.8458487151687494E-2</v>
      </c>
      <c r="BO138" s="469">
        <f t="shared" si="229"/>
        <v>66.500311202969655</v>
      </c>
      <c r="BP138" s="177">
        <f t="shared" si="230"/>
        <v>2.2400000000000003E-2</v>
      </c>
      <c r="BQ138" s="177">
        <f t="shared" si="231"/>
        <v>1.1200000000000002E-2</v>
      </c>
      <c r="BR138" s="538"/>
      <c r="BT138" s="469">
        <f t="shared" si="232"/>
        <v>33.6</v>
      </c>
      <c r="BU138" s="538">
        <f t="shared" si="233"/>
        <v>3.777867711347826E-3</v>
      </c>
      <c r="BV138" s="538">
        <f t="shared" si="234"/>
        <v>9.1304939942121798E-4</v>
      </c>
      <c r="BW138" s="538">
        <f t="shared" si="235"/>
        <v>3.8043724975884085E-4</v>
      </c>
      <c r="BX138" s="538">
        <f t="shared" si="236"/>
        <v>0</v>
      </c>
      <c r="BY138" s="538">
        <f t="shared" si="180"/>
        <v>5.6822222087813115E-3</v>
      </c>
      <c r="BZ138" s="538">
        <f t="shared" si="250"/>
        <v>5.0713543605278855E-3</v>
      </c>
      <c r="CA138" s="641">
        <f t="shared" si="237"/>
        <v>4.4800000000000013E-3</v>
      </c>
      <c r="CB138" s="469">
        <f t="shared" si="238"/>
        <v>20.304930929837084</v>
      </c>
      <c r="CC138" s="177">
        <f t="shared" si="251"/>
        <v>0.11222070936046881</v>
      </c>
      <c r="CD138" s="5">
        <f t="shared" si="239"/>
        <v>1.3440000000000003</v>
      </c>
      <c r="CE138" s="177">
        <f t="shared" si="240"/>
        <v>0.92293701865443667</v>
      </c>
      <c r="CF138" s="5">
        <f t="shared" si="241"/>
        <v>92.293701865443666</v>
      </c>
      <c r="CG138">
        <f t="shared" si="242"/>
        <v>28.000000000000004</v>
      </c>
      <c r="CI138" s="571">
        <f t="shared" si="243"/>
        <v>-50</v>
      </c>
      <c r="CJ138">
        <f t="shared" si="244"/>
        <v>-50</v>
      </c>
    </row>
    <row r="139" spans="5:88" x14ac:dyDescent="0.25">
      <c r="E139" s="174">
        <v>29</v>
      </c>
      <c r="F139" s="221">
        <f t="shared" si="245"/>
        <v>5.7999999999999996E-2</v>
      </c>
      <c r="G139" s="221">
        <f t="shared" si="183"/>
        <v>2.8999999999999998E-2</v>
      </c>
      <c r="H139" s="221">
        <f t="shared" si="184"/>
        <v>0.92799999999999994</v>
      </c>
      <c r="I139" s="221">
        <f t="shared" si="185"/>
        <v>0.46399999999999997</v>
      </c>
      <c r="J139" s="551">
        <f t="shared" si="186"/>
        <v>12</v>
      </c>
      <c r="K139" s="451">
        <f t="shared" si="187"/>
        <v>19.584</v>
      </c>
      <c r="L139" s="451">
        <f t="shared" si="188"/>
        <v>31.584</v>
      </c>
      <c r="M139" s="451"/>
      <c r="N139" s="221">
        <f t="shared" si="189"/>
        <v>0.62006079027355621</v>
      </c>
      <c r="O139" s="176">
        <f t="shared" si="190"/>
        <v>3.3483282674772035</v>
      </c>
      <c r="P139" s="176">
        <f t="shared" si="191"/>
        <v>1.6741641337386017</v>
      </c>
      <c r="Q139" s="221">
        <f t="shared" si="192"/>
        <v>0.20927051671732522</v>
      </c>
      <c r="R139" s="221">
        <f t="shared" si="193"/>
        <v>0.20927051671732522</v>
      </c>
      <c r="S139" s="221">
        <f t="shared" si="194"/>
        <v>16</v>
      </c>
      <c r="T139" s="221">
        <f t="shared" si="195"/>
        <v>0.41572984749455333</v>
      </c>
      <c r="U139" s="221">
        <f t="shared" si="196"/>
        <v>1.0393246187363832</v>
      </c>
      <c r="V139" s="221">
        <f t="shared" si="197"/>
        <v>0.63684106540219565</v>
      </c>
      <c r="W139" s="201">
        <f t="shared" si="198"/>
        <v>350</v>
      </c>
      <c r="X139" s="451">
        <f t="shared" si="199"/>
        <v>350</v>
      </c>
      <c r="Z139" s="221">
        <f t="shared" si="200"/>
        <v>0.70864090316977857</v>
      </c>
      <c r="AA139" s="177">
        <f t="shared" si="201"/>
        <v>1.0855405992184108</v>
      </c>
      <c r="AB139" s="177">
        <f t="shared" si="202"/>
        <v>0.1076961858920636</v>
      </c>
      <c r="AC139" s="177"/>
      <c r="AD139" s="177">
        <f t="shared" si="203"/>
        <v>0.4595588235294118</v>
      </c>
      <c r="AE139" s="555">
        <f t="shared" si="204"/>
        <v>1051.7333333333333</v>
      </c>
      <c r="AF139" s="538">
        <f t="shared" si="205"/>
        <v>1.9301470588235291E-2</v>
      </c>
      <c r="AH139" s="177">
        <f t="shared" si="206"/>
        <v>0.51492024347743126</v>
      </c>
      <c r="AI139" s="177">
        <f t="shared" si="207"/>
        <v>0.51492024347743126</v>
      </c>
      <c r="AJ139" s="177">
        <f t="shared" si="208"/>
        <v>1.3592001803536529</v>
      </c>
      <c r="AL139" s="555">
        <f t="shared" si="209"/>
        <v>57.999999999999993</v>
      </c>
      <c r="AM139" s="469">
        <f t="shared" si="210"/>
        <v>350</v>
      </c>
      <c r="AO139" s="469">
        <f t="shared" si="211"/>
        <v>57.999999999999993</v>
      </c>
      <c r="AP139" s="469">
        <f t="shared" si="212"/>
        <v>350</v>
      </c>
      <c r="AR139" s="5">
        <f t="shared" si="249"/>
        <v>2.8571428571428572</v>
      </c>
      <c r="AS139" s="5">
        <f t="shared" si="246"/>
        <v>1.2873006086935783</v>
      </c>
      <c r="AT139" s="5">
        <f t="shared" si="247"/>
        <v>1.5698422484492789</v>
      </c>
      <c r="AU139" s="177">
        <f t="shared" si="248"/>
        <v>0.45055521304275242</v>
      </c>
      <c r="AW139" s="5">
        <f t="shared" si="216"/>
        <v>0.46664647065142206</v>
      </c>
      <c r="AX139" s="5"/>
      <c r="AY139" s="5">
        <f t="shared" si="217"/>
        <v>0.23332323532571103</v>
      </c>
      <c r="AZ139" s="5"/>
      <c r="BA139" s="5">
        <f t="shared" si="218"/>
        <v>8.4306342972276072E-2</v>
      </c>
      <c r="BB139" s="5"/>
      <c r="BC139" s="5"/>
      <c r="BD139" s="177">
        <f t="shared" si="219"/>
        <v>0.19955074249153107</v>
      </c>
      <c r="BE139" s="177">
        <f t="shared" si="220"/>
        <v>0.17629149234520608</v>
      </c>
      <c r="BF139" s="177">
        <f t="shared" si="221"/>
        <v>8.814574617260304E-2</v>
      </c>
      <c r="BG139" s="177"/>
      <c r="BH139" s="538">
        <f t="shared" si="222"/>
        <v>1.393717459012247E-2</v>
      </c>
      <c r="BI139" s="538">
        <f t="shared" si="223"/>
        <v>2.8460671697484577E-2</v>
      </c>
      <c r="BJ139" s="538">
        <f t="shared" si="224"/>
        <v>4.3749999999999995E-3</v>
      </c>
      <c r="BK139" s="538">
        <f t="shared" si="225"/>
        <v>1.7457108480000001E-2</v>
      </c>
      <c r="BL139">
        <f t="shared" si="226"/>
        <v>3.48E-3</v>
      </c>
      <c r="BM139">
        <f t="shared" si="227"/>
        <v>6.1250000000000006E-6</v>
      </c>
      <c r="BN139">
        <f t="shared" si="228"/>
        <v>6.9777023583605352E-2</v>
      </c>
      <c r="BO139" s="469">
        <f t="shared" si="229"/>
        <v>67.70995476760703</v>
      </c>
      <c r="BP139" s="177">
        <f t="shared" si="230"/>
        <v>2.3199999999999998E-2</v>
      </c>
      <c r="BQ139" s="177">
        <f t="shared" si="231"/>
        <v>1.1599999999999999E-2</v>
      </c>
      <c r="BR139" s="538"/>
      <c r="BT139" s="469">
        <f t="shared" si="232"/>
        <v>34.799999999999997</v>
      </c>
      <c r="BU139" s="538">
        <f t="shared" si="233"/>
        <v>3.9820498828921349E-3</v>
      </c>
      <c r="BV139" s="538">
        <f t="shared" si="234"/>
        <v>9.3236070819899557E-4</v>
      </c>
      <c r="BW139" s="538">
        <f t="shared" si="235"/>
        <v>3.884836284162482E-4</v>
      </c>
      <c r="BX139" s="538">
        <f t="shared" si="236"/>
        <v>0</v>
      </c>
      <c r="BY139" s="538">
        <f t="shared" si="180"/>
        <v>5.9417622087659079E-3</v>
      </c>
      <c r="BZ139" s="538">
        <f t="shared" si="250"/>
        <v>5.3028942195073783E-3</v>
      </c>
      <c r="CA139" s="641">
        <f t="shared" si="237"/>
        <v>4.6399999999999992E-3</v>
      </c>
      <c r="CB139" s="469">
        <f t="shared" si="238"/>
        <v>21.187550647780661</v>
      </c>
      <c r="CC139" s="177">
        <f t="shared" si="251"/>
        <v>0.11515878579237127</v>
      </c>
      <c r="CD139" s="5">
        <f t="shared" si="239"/>
        <v>1.3919999999999999</v>
      </c>
      <c r="CE139" s="177">
        <f t="shared" si="240"/>
        <v>0.92359213449973165</v>
      </c>
      <c r="CF139" s="5">
        <f t="shared" si="241"/>
        <v>92.359213449973169</v>
      </c>
      <c r="CG139">
        <f t="shared" si="242"/>
        <v>28.999999999999996</v>
      </c>
      <c r="CI139" s="571">
        <f t="shared" si="243"/>
        <v>-50</v>
      </c>
      <c r="CJ139">
        <f t="shared" si="244"/>
        <v>-50</v>
      </c>
    </row>
    <row r="140" spans="5:88" x14ac:dyDescent="0.25">
      <c r="E140" s="174">
        <v>30</v>
      </c>
      <c r="F140" s="221">
        <f t="shared" si="245"/>
        <v>0.06</v>
      </c>
      <c r="G140" s="221">
        <f t="shared" si="183"/>
        <v>0.03</v>
      </c>
      <c r="H140" s="221">
        <f t="shared" si="184"/>
        <v>0.96</v>
      </c>
      <c r="I140" s="221">
        <f t="shared" si="185"/>
        <v>0.48</v>
      </c>
      <c r="J140" s="551">
        <f t="shared" si="186"/>
        <v>12</v>
      </c>
      <c r="K140" s="451">
        <f t="shared" si="187"/>
        <v>19.584</v>
      </c>
      <c r="L140" s="451">
        <f t="shared" si="188"/>
        <v>31.584</v>
      </c>
      <c r="M140" s="451"/>
      <c r="N140" s="221">
        <f t="shared" si="189"/>
        <v>0.62006079027355621</v>
      </c>
      <c r="O140" s="176">
        <f t="shared" si="190"/>
        <v>3.3483282674772035</v>
      </c>
      <c r="P140" s="176">
        <f t="shared" si="191"/>
        <v>1.6741641337386017</v>
      </c>
      <c r="Q140" s="221">
        <f t="shared" si="192"/>
        <v>0.20927051671732522</v>
      </c>
      <c r="R140" s="221">
        <f t="shared" si="193"/>
        <v>0.20927051671732522</v>
      </c>
      <c r="S140" s="221">
        <f t="shared" si="194"/>
        <v>16</v>
      </c>
      <c r="T140" s="221">
        <f t="shared" si="195"/>
        <v>0.43006535947712415</v>
      </c>
      <c r="U140" s="221">
        <f t="shared" si="196"/>
        <v>1.0751633986928104</v>
      </c>
      <c r="V140" s="221">
        <f t="shared" si="197"/>
        <v>0.65880110214020249</v>
      </c>
      <c r="W140" s="201">
        <f t="shared" si="198"/>
        <v>350</v>
      </c>
      <c r="X140" s="451">
        <f t="shared" si="199"/>
        <v>350</v>
      </c>
      <c r="Z140" s="221">
        <f t="shared" si="200"/>
        <v>0.70864090316977857</v>
      </c>
      <c r="AA140" s="177">
        <f t="shared" si="201"/>
        <v>1.0855405992184108</v>
      </c>
      <c r="AB140" s="177">
        <f t="shared" si="202"/>
        <v>0.1076961858920636</v>
      </c>
      <c r="AC140" s="177"/>
      <c r="AD140" s="177">
        <f t="shared" si="203"/>
        <v>0.4595588235294118</v>
      </c>
      <c r="AE140" s="555">
        <f t="shared" si="204"/>
        <v>1088.0000000000002</v>
      </c>
      <c r="AF140" s="538">
        <f t="shared" si="205"/>
        <v>1.9301470588235291E-2</v>
      </c>
      <c r="AH140" s="177">
        <f t="shared" si="206"/>
        <v>0.52372293656638169</v>
      </c>
      <c r="AI140" s="177">
        <f t="shared" si="207"/>
        <v>0.52372293656638169</v>
      </c>
      <c r="AJ140" s="177">
        <f t="shared" si="208"/>
        <v>1.3657206937528752</v>
      </c>
      <c r="AL140" s="555">
        <f t="shared" si="209"/>
        <v>60</v>
      </c>
      <c r="AM140" s="469">
        <f t="shared" si="210"/>
        <v>350</v>
      </c>
      <c r="AO140" s="469">
        <f t="shared" si="211"/>
        <v>60</v>
      </c>
      <c r="AP140" s="469">
        <f t="shared" si="212"/>
        <v>350</v>
      </c>
      <c r="AR140" s="5">
        <f t="shared" si="249"/>
        <v>2.8571428571428572</v>
      </c>
      <c r="AS140" s="5">
        <f t="shared" si="246"/>
        <v>1.3093073414159542</v>
      </c>
      <c r="AT140" s="5">
        <f t="shared" si="247"/>
        <v>1.547835515726903</v>
      </c>
      <c r="AU140" s="177">
        <f t="shared" si="248"/>
        <v>0.45825756949558394</v>
      </c>
      <c r="AW140" s="5">
        <f t="shared" si="216"/>
        <v>0.49099025303098287</v>
      </c>
      <c r="AX140" s="5"/>
      <c r="AY140" s="5">
        <f t="shared" si="217"/>
        <v>0.24549512651549144</v>
      </c>
      <c r="AZ140" s="5"/>
      <c r="BA140" s="5">
        <f t="shared" si="218"/>
        <v>8.5990861984827943E-2</v>
      </c>
      <c r="BB140" s="5"/>
      <c r="BC140" s="5"/>
      <c r="BD140" s="177">
        <f t="shared" si="219"/>
        <v>0.20468960629526486</v>
      </c>
      <c r="BE140" s="177">
        <f t="shared" si="220"/>
        <v>0.17804401523804994</v>
      </c>
      <c r="BF140" s="177">
        <f t="shared" si="221"/>
        <v>8.902200761902497E-2</v>
      </c>
      <c r="BG140" s="177"/>
      <c r="BH140" s="538">
        <f t="shared" si="222"/>
        <v>1.4664242223858684E-2</v>
      </c>
      <c r="BI140" s="538">
        <f t="shared" si="223"/>
        <v>2.8947214149897049E-2</v>
      </c>
      <c r="BJ140" s="538">
        <f t="shared" si="224"/>
        <v>4.3749999999999995E-3</v>
      </c>
      <c r="BK140" s="538">
        <f t="shared" si="225"/>
        <v>1.7457108480000001E-2</v>
      </c>
      <c r="BL140">
        <f t="shared" si="226"/>
        <v>3.48E-3</v>
      </c>
      <c r="BM140">
        <f t="shared" si="227"/>
        <v>6.1250000000000006E-6</v>
      </c>
      <c r="BN140">
        <f t="shared" si="228"/>
        <v>7.1101732036372794E-2</v>
      </c>
      <c r="BO140" s="469">
        <f t="shared" si="229"/>
        <v>68.923564853755721</v>
      </c>
      <c r="BP140" s="177">
        <f t="shared" si="230"/>
        <v>2.4E-2</v>
      </c>
      <c r="BQ140" s="177">
        <f t="shared" si="231"/>
        <v>1.2E-2</v>
      </c>
      <c r="BR140" s="538"/>
      <c r="BT140" s="469">
        <f t="shared" si="232"/>
        <v>36.000000000000007</v>
      </c>
      <c r="BU140" s="538">
        <f t="shared" si="233"/>
        <v>4.1897834925310531E-3</v>
      </c>
      <c r="BV140" s="538">
        <f t="shared" si="234"/>
        <v>9.5099014086260866E-4</v>
      </c>
      <c r="BW140" s="538">
        <f t="shared" si="235"/>
        <v>3.9624589202608699E-4</v>
      </c>
      <c r="BX140" s="538">
        <f t="shared" si="236"/>
        <v>0</v>
      </c>
      <c r="BY140" s="538">
        <f t="shared" si="180"/>
        <v>6.204210095065014E-3</v>
      </c>
      <c r="BZ140" s="538">
        <f t="shared" si="250"/>
        <v>5.5370195254197483E-3</v>
      </c>
      <c r="CA140" s="641">
        <f t="shared" si="237"/>
        <v>4.7999999999999996E-3</v>
      </c>
      <c r="CB140" s="469">
        <f t="shared" si="238"/>
        <v>22.078249145904511</v>
      </c>
      <c r="CC140" s="177">
        <f t="shared" si="251"/>
        <v>0.1181059421314378</v>
      </c>
      <c r="CD140" s="5">
        <f t="shared" si="239"/>
        <v>1.44</v>
      </c>
      <c r="CE140" s="177">
        <f t="shared" si="240"/>
        <v>0.92419902977208801</v>
      </c>
      <c r="CF140" s="5">
        <f t="shared" si="241"/>
        <v>92.419902977208807</v>
      </c>
      <c r="CG140">
        <f t="shared" si="242"/>
        <v>30</v>
      </c>
      <c r="CI140" s="571">
        <f t="shared" si="243"/>
        <v>-50</v>
      </c>
      <c r="CJ140">
        <f t="shared" si="244"/>
        <v>-50</v>
      </c>
    </row>
    <row r="141" spans="5:88" x14ac:dyDescent="0.25">
      <c r="E141" s="174">
        <v>31</v>
      </c>
      <c r="F141" s="221">
        <f t="shared" si="245"/>
        <v>6.2E-2</v>
      </c>
      <c r="G141" s="221">
        <f t="shared" si="183"/>
        <v>3.1E-2</v>
      </c>
      <c r="H141" s="221">
        <f t="shared" si="184"/>
        <v>0.99199999999999999</v>
      </c>
      <c r="I141" s="221">
        <f t="shared" si="185"/>
        <v>0.496</v>
      </c>
      <c r="J141" s="551">
        <f t="shared" si="186"/>
        <v>12</v>
      </c>
      <c r="K141" s="451">
        <f t="shared" si="187"/>
        <v>19.584</v>
      </c>
      <c r="L141" s="451">
        <f t="shared" si="188"/>
        <v>31.584</v>
      </c>
      <c r="M141" s="451"/>
      <c r="N141" s="221">
        <f t="shared" si="189"/>
        <v>0.62006079027355621</v>
      </c>
      <c r="O141" s="176">
        <f t="shared" si="190"/>
        <v>3.3483282674772035</v>
      </c>
      <c r="P141" s="176">
        <f t="shared" si="191"/>
        <v>1.6741641337386017</v>
      </c>
      <c r="Q141" s="221">
        <f t="shared" si="192"/>
        <v>0.20927051671732522</v>
      </c>
      <c r="R141" s="221">
        <f t="shared" si="193"/>
        <v>0.20927051671732522</v>
      </c>
      <c r="S141" s="221">
        <f t="shared" si="194"/>
        <v>16</v>
      </c>
      <c r="T141" s="221">
        <f t="shared" si="195"/>
        <v>0.44440087145969492</v>
      </c>
      <c r="U141" s="221">
        <f t="shared" si="196"/>
        <v>1.1110021786492372</v>
      </c>
      <c r="V141" s="221">
        <f t="shared" si="197"/>
        <v>0.6807611388782091</v>
      </c>
      <c r="W141" s="201">
        <f t="shared" si="198"/>
        <v>350</v>
      </c>
      <c r="X141" s="451">
        <f t="shared" si="199"/>
        <v>350</v>
      </c>
      <c r="Z141" s="221">
        <f t="shared" si="200"/>
        <v>0.70864090316977857</v>
      </c>
      <c r="AA141" s="177">
        <f t="shared" si="201"/>
        <v>1.0855405992184108</v>
      </c>
      <c r="AB141" s="177">
        <f t="shared" si="202"/>
        <v>0.1076961858920636</v>
      </c>
      <c r="AC141" s="177"/>
      <c r="AD141" s="177">
        <f t="shared" si="203"/>
        <v>0.4595588235294118</v>
      </c>
      <c r="AE141" s="555">
        <f t="shared" si="204"/>
        <v>1124.2666666666669</v>
      </c>
      <c r="AF141" s="538">
        <f t="shared" si="205"/>
        <v>1.9301470588235291E-2</v>
      </c>
      <c r="AH141" s="177">
        <f t="shared" si="206"/>
        <v>0.5323801005189539</v>
      </c>
      <c r="AI141" s="177">
        <f t="shared" si="207"/>
        <v>0.5323801005189539</v>
      </c>
      <c r="AJ141" s="177">
        <f t="shared" si="208"/>
        <v>1.3721334077918177</v>
      </c>
      <c r="AL141" s="555">
        <f t="shared" si="209"/>
        <v>62</v>
      </c>
      <c r="AM141" s="469">
        <f t="shared" si="210"/>
        <v>350</v>
      </c>
      <c r="AO141" s="469">
        <f t="shared" si="211"/>
        <v>62</v>
      </c>
      <c r="AP141" s="469">
        <f t="shared" si="212"/>
        <v>350</v>
      </c>
      <c r="AR141" s="5">
        <f t="shared" si="249"/>
        <v>2.8571428571428572</v>
      </c>
      <c r="AS141" s="5">
        <f t="shared" si="246"/>
        <v>1.3309502512973848</v>
      </c>
      <c r="AT141" s="5">
        <f t="shared" si="247"/>
        <v>1.5261926058454724</v>
      </c>
      <c r="AU141" s="177">
        <f t="shared" si="248"/>
        <v>0.46583258795408466</v>
      </c>
      <c r="AW141" s="5">
        <f t="shared" si="216"/>
        <v>0.51574322237773662</v>
      </c>
      <c r="AX141" s="5"/>
      <c r="AY141" s="5">
        <f t="shared" si="217"/>
        <v>0.25787161118886831</v>
      </c>
      <c r="AZ141" s="5"/>
      <c r="BA141" s="5">
        <f t="shared" si="218"/>
        <v>8.7614760705943776E-2</v>
      </c>
      <c r="BB141" s="5"/>
      <c r="BC141" s="5"/>
      <c r="BD141" s="177">
        <f t="shared" si="219"/>
        <v>0.20978581532021384</v>
      </c>
      <c r="BE141" s="177">
        <f t="shared" si="220"/>
        <v>0.17971729295379205</v>
      </c>
      <c r="BF141" s="177">
        <f t="shared" si="221"/>
        <v>8.9858646476896023E-2</v>
      </c>
      <c r="BG141" s="177"/>
      <c r="BH141" s="538">
        <f t="shared" si="222"/>
        <v>1.5403530908348402E-2</v>
      </c>
      <c r="BI141" s="538">
        <f t="shared" si="223"/>
        <v>2.9425712915883622E-2</v>
      </c>
      <c r="BJ141" s="538">
        <f t="shared" si="224"/>
        <v>4.3749999999999995E-3</v>
      </c>
      <c r="BK141" s="538">
        <f t="shared" si="225"/>
        <v>1.7457108480000001E-2</v>
      </c>
      <c r="BL141">
        <f t="shared" si="226"/>
        <v>3.48E-3</v>
      </c>
      <c r="BM141">
        <f t="shared" si="227"/>
        <v>6.1250000000000006E-6</v>
      </c>
      <c r="BN141">
        <f t="shared" si="228"/>
        <v>7.2432804490796865E-2</v>
      </c>
      <c r="BO141" s="469">
        <f t="shared" si="229"/>
        <v>70.141352304232015</v>
      </c>
      <c r="BP141" s="177">
        <f t="shared" si="230"/>
        <v>2.4800000000000003E-2</v>
      </c>
      <c r="BQ141" s="177">
        <f t="shared" si="231"/>
        <v>1.2400000000000001E-2</v>
      </c>
      <c r="BR141" s="538"/>
      <c r="BT141" s="469">
        <f t="shared" si="232"/>
        <v>37.200000000000003</v>
      </c>
      <c r="BU141" s="538">
        <f t="shared" si="233"/>
        <v>4.4010088309566868E-3</v>
      </c>
      <c r="BV141" s="538">
        <f t="shared" si="234"/>
        <v>9.6894916159917326E-4</v>
      </c>
      <c r="BW141" s="538">
        <f t="shared" si="235"/>
        <v>4.0372881733298889E-4</v>
      </c>
      <c r="BX141" s="538">
        <f t="shared" si="236"/>
        <v>0</v>
      </c>
      <c r="BY141" s="538">
        <f t="shared" si="180"/>
        <v>6.4695174644875961E-3</v>
      </c>
      <c r="BZ141" s="538">
        <f t="shared" si="250"/>
        <v>5.7736868098888488E-3</v>
      </c>
      <c r="CA141" s="641">
        <f t="shared" si="237"/>
        <v>4.9600000000000017E-3</v>
      </c>
      <c r="CB141" s="469">
        <f t="shared" si="238"/>
        <v>22.976891084265297</v>
      </c>
      <c r="CC141" s="177">
        <f t="shared" si="251"/>
        <v>0.12106232195528448</v>
      </c>
      <c r="CD141" s="5">
        <f t="shared" si="239"/>
        <v>1.488</v>
      </c>
      <c r="CE141" s="177">
        <f t="shared" si="240"/>
        <v>0.92476219205221766</v>
      </c>
      <c r="CF141" s="5">
        <f t="shared" si="241"/>
        <v>92.476219205221767</v>
      </c>
      <c r="CG141">
        <f t="shared" si="242"/>
        <v>31</v>
      </c>
      <c r="CI141" s="571">
        <f t="shared" si="243"/>
        <v>-50</v>
      </c>
      <c r="CJ141">
        <f t="shared" si="244"/>
        <v>-50</v>
      </c>
    </row>
    <row r="142" spans="5:88" x14ac:dyDescent="0.25">
      <c r="E142" s="174">
        <v>32</v>
      </c>
      <c r="F142" s="221">
        <f t="shared" si="245"/>
        <v>6.4000000000000001E-2</v>
      </c>
      <c r="G142" s="221">
        <f t="shared" ref="G142:G173" si="252">IF(PLOT_TYPE=1, E142/100*Iout2, min_I*EXP(Q142*rr/100))</f>
        <v>3.2000000000000001E-2</v>
      </c>
      <c r="H142" s="221">
        <f t="shared" ref="H142:H173" si="253">F142*Vout</f>
        <v>1.024</v>
      </c>
      <c r="I142" s="221">
        <f t="shared" ref="I142:I173" si="254">Vout2*G142</f>
        <v>0.51200000000000001</v>
      </c>
      <c r="J142" s="551">
        <f t="shared" si="186"/>
        <v>12</v>
      </c>
      <c r="K142" s="451">
        <f t="shared" si="187"/>
        <v>19.584</v>
      </c>
      <c r="L142" s="451">
        <f t="shared" si="188"/>
        <v>31.584</v>
      </c>
      <c r="M142" s="451"/>
      <c r="N142" s="221">
        <f t="shared" si="189"/>
        <v>0.62006079027355621</v>
      </c>
      <c r="O142" s="176">
        <f t="shared" ref="O142:O173" si="255">N142*J142*Isw_max*0.5*Efficiency*Pout/(Pout+Pout2)</f>
        <v>3.3483282674772035</v>
      </c>
      <c r="P142" s="176">
        <f t="shared" ref="P142:P173" si="256">N142*J142*Isw_max*0.5*Efficiency*(Pout2/Pout_total)</f>
        <v>1.6741641337386017</v>
      </c>
      <c r="Q142" s="221">
        <f t="shared" si="192"/>
        <v>0.20927051671732522</v>
      </c>
      <c r="R142" s="221">
        <f t="shared" ref="R142:R173" si="257">O142/Vout2</f>
        <v>0.20927051671732522</v>
      </c>
      <c r="S142" s="221">
        <f t="shared" ref="S142:S173" si="258">MIN(Vout,O142/F142)</f>
        <v>16</v>
      </c>
      <c r="T142" s="221">
        <f t="shared" ref="T142:T173" si="259">MIN(2*(Vout*F142+Vout2*G142)/(Efficiency*J142*N142), Isw_max)</f>
        <v>0.45873638344226575</v>
      </c>
      <c r="U142" s="221">
        <f t="shared" si="196"/>
        <v>1.1468409586056645</v>
      </c>
      <c r="V142" s="221">
        <f t="shared" si="197"/>
        <v>0.70272117561621594</v>
      </c>
      <c r="W142" s="201">
        <f t="shared" si="198"/>
        <v>350</v>
      </c>
      <c r="X142" s="451">
        <f t="shared" si="199"/>
        <v>350</v>
      </c>
      <c r="Z142" s="221">
        <f t="shared" si="200"/>
        <v>0.70864090316977857</v>
      </c>
      <c r="AA142" s="177">
        <f t="shared" si="201"/>
        <v>1.0855405992184108</v>
      </c>
      <c r="AB142" s="177">
        <f t="shared" ref="AB142:AB173" si="260">0.5*AA142*Z142*Nps*W142/1000*(Pout/(Pout+Pout2))</f>
        <v>0.1076961858920636</v>
      </c>
      <c r="AC142" s="177"/>
      <c r="AD142" s="177">
        <f t="shared" si="203"/>
        <v>0.4595588235294118</v>
      </c>
      <c r="AE142" s="555">
        <f t="shared" ref="AE142:AE173" si="261">MAX(10, F142/(0.5*AD142/1000000*Isw_min*Nps)/1000*Pout_total/Pout)</f>
        <v>1160.5333333333335</v>
      </c>
      <c r="AF142" s="538">
        <f t="shared" ref="AF142:AF173" si="262">0.5*AD142/1000000*Isw_min*Nps*W142*1000*(Pout/Pout_total)</f>
        <v>1.9301470588235291E-2</v>
      </c>
      <c r="AH142" s="177">
        <f t="shared" ref="AH142:AH173" si="263">SQRT((H142+I142)/(0.5*L*Fsw_DCM))</f>
        <v>0.54089872302625064</v>
      </c>
      <c r="AI142" s="177">
        <f t="shared" ref="AI142:AI173" si="264">MAX(IF(F142&gt;AB142,T142,AH142),Isw_min)</f>
        <v>0.54089872302625064</v>
      </c>
      <c r="AJ142" s="177">
        <f t="shared" ref="AJ142:AJ173" si="265">IF(F142&gt;AF142, (AI142-Isw_min)/1.08*0.8+1.2, AE142*0.2/350+1)</f>
        <v>1.3784434985379634</v>
      </c>
      <c r="AL142" s="555">
        <f t="shared" ref="AL142:AL173" si="266">F142*1000</f>
        <v>64</v>
      </c>
      <c r="AM142" s="469">
        <f t="shared" ref="AM142:AM173" si="267">IF(F142&gt;AF142, X142, AE142)</f>
        <v>350</v>
      </c>
      <c r="AO142" s="469">
        <f t="shared" si="211"/>
        <v>64</v>
      </c>
      <c r="AP142" s="469">
        <f t="shared" si="212"/>
        <v>350</v>
      </c>
      <c r="AR142" s="5">
        <f t="shared" si="249"/>
        <v>2.8571428571428572</v>
      </c>
      <c r="AS142" s="5">
        <f t="shared" si="246"/>
        <v>1.3522468075656269</v>
      </c>
      <c r="AT142" s="5">
        <f t="shared" si="247"/>
        <v>1.5048960495772303</v>
      </c>
      <c r="AU142" s="177">
        <f t="shared" si="248"/>
        <v>0.47328638264796941</v>
      </c>
      <c r="AW142" s="5">
        <f t="shared" si="216"/>
        <v>0.54089872302625075</v>
      </c>
      <c r="AX142" s="5"/>
      <c r="AY142" s="5">
        <f t="shared" si="217"/>
        <v>0.27044936151312537</v>
      </c>
      <c r="AZ142" s="5"/>
      <c r="BA142" s="5">
        <f t="shared" si="218"/>
        <v>8.9179025160132167E-2</v>
      </c>
      <c r="BB142" s="5"/>
      <c r="BC142" s="5"/>
      <c r="BD142" s="177">
        <f t="shared" si="219"/>
        <v>0.21484108320238335</v>
      </c>
      <c r="BE142" s="177">
        <f t="shared" si="220"/>
        <v>0.18131452185368696</v>
      </c>
      <c r="BF142" s="177">
        <f t="shared" si="221"/>
        <v>9.065726092684348E-2</v>
      </c>
      <c r="BG142" s="177"/>
      <c r="BH142" s="538">
        <f t="shared" si="222"/>
        <v>1.6154841861050689E-2</v>
      </c>
      <c r="BI142" s="538">
        <f t="shared" si="223"/>
        <v>2.9896554219106926E-2</v>
      </c>
      <c r="BJ142" s="538">
        <f t="shared" si="224"/>
        <v>4.3749999999999995E-3</v>
      </c>
      <c r="BK142" s="538">
        <f t="shared" si="225"/>
        <v>1.7457108480000001E-2</v>
      </c>
      <c r="BL142">
        <f t="shared" si="226"/>
        <v>3.48E-3</v>
      </c>
      <c r="BM142">
        <f t="shared" ref="BM142:BM173" si="268">(J142-Vdd)*Qg*AM142</f>
        <v>6.1250000000000006E-6</v>
      </c>
      <c r="BN142">
        <f t="shared" ref="BN142:BN173" si="269">(BI142+BJ142+BK142+BL142+BM142+BH142*(1+RdsonTC*(Ta-25)))/(1-BH142*RdsonTC*ThetaJA)</f>
        <v>7.3770410961512864E-2</v>
      </c>
      <c r="BO142" s="469">
        <f t="shared" si="229"/>
        <v>71.363504560157608</v>
      </c>
      <c r="BP142" s="177">
        <f t="shared" si="230"/>
        <v>2.5600000000000001E-2</v>
      </c>
      <c r="BQ142" s="177">
        <f t="shared" si="231"/>
        <v>1.2800000000000001E-2</v>
      </c>
      <c r="BR142" s="538"/>
      <c r="BT142" s="469">
        <f t="shared" si="232"/>
        <v>38.400000000000006</v>
      </c>
      <c r="BU142" s="538">
        <f t="shared" si="233"/>
        <v>4.6156691031573405E-3</v>
      </c>
      <c r="BV142" s="538">
        <f t="shared" si="234"/>
        <v>9.8624867505093367E-4</v>
      </c>
      <c r="BW142" s="538">
        <f t="shared" si="235"/>
        <v>4.1093694793788908E-4</v>
      </c>
      <c r="BX142" s="538">
        <f t="shared" si="236"/>
        <v>0</v>
      </c>
      <c r="BY142" s="538">
        <f t="shared" si="180"/>
        <v>6.7376382885017908E-3</v>
      </c>
      <c r="BZ142" s="538">
        <f t="shared" si="250"/>
        <v>6.0128547261461638E-3</v>
      </c>
      <c r="CA142" s="641">
        <f t="shared" ref="CA142:CA173" si="270">0.5*Lleak*0.000000001*AI142^2*AM142*1000</f>
        <v>5.1200000000000013E-3</v>
      </c>
      <c r="CB142" s="469">
        <f t="shared" si="238"/>
        <v>23.883347740794118</v>
      </c>
      <c r="CC142" s="177">
        <f t="shared" si="251"/>
        <v>0.12402804925001466</v>
      </c>
      <c r="CD142" s="5">
        <f t="shared" si="239"/>
        <v>1.536</v>
      </c>
      <c r="CE142" s="177">
        <f t="shared" si="240"/>
        <v>0.92528557014078805</v>
      </c>
      <c r="CF142" s="5">
        <f t="shared" si="241"/>
        <v>92.5285570140788</v>
      </c>
      <c r="CG142">
        <f t="shared" si="242"/>
        <v>32</v>
      </c>
      <c r="CI142" s="571">
        <f t="shared" ref="CI142:CI173" si="271">IF(ABS(F142-Ioutmax_Vinmin)&lt;Iout/200, AM142, -50)</f>
        <v>-50</v>
      </c>
      <c r="CJ142">
        <f t="shared" ref="CJ142:CJ173" si="272">IF(ABS(F142-Ioutmax_Vinmin)&lt;Iout/200, (O142+P142)*CE142, -50)</f>
        <v>-50</v>
      </c>
    </row>
    <row r="143" spans="5:88" x14ac:dyDescent="0.25">
      <c r="E143" s="174">
        <v>33</v>
      </c>
      <c r="F143" s="221">
        <f t="shared" ref="F143:F174" si="273">IF(PLOT_TYPE=1, E143/100*Iout_max, min_I*EXP(O143*rr/100))</f>
        <v>6.6000000000000003E-2</v>
      </c>
      <c r="G143" s="221">
        <f t="shared" si="252"/>
        <v>3.3000000000000002E-2</v>
      </c>
      <c r="H143" s="221">
        <f t="shared" si="253"/>
        <v>1.056</v>
      </c>
      <c r="I143" s="221">
        <f t="shared" si="254"/>
        <v>0.52800000000000002</v>
      </c>
      <c r="J143" s="551">
        <f t="shared" si="186"/>
        <v>12</v>
      </c>
      <c r="K143" s="451">
        <f t="shared" si="187"/>
        <v>19.584</v>
      </c>
      <c r="L143" s="451">
        <f t="shared" si="188"/>
        <v>31.584</v>
      </c>
      <c r="M143" s="451"/>
      <c r="N143" s="221">
        <f t="shared" si="189"/>
        <v>0.62006079027355621</v>
      </c>
      <c r="O143" s="176">
        <f t="shared" si="255"/>
        <v>3.3483282674772035</v>
      </c>
      <c r="P143" s="176">
        <f t="shared" si="256"/>
        <v>1.6741641337386017</v>
      </c>
      <c r="Q143" s="221">
        <f t="shared" si="192"/>
        <v>0.20927051671732522</v>
      </c>
      <c r="R143" s="221">
        <f t="shared" si="257"/>
        <v>0.20927051671732522</v>
      </c>
      <c r="S143" s="221">
        <f t="shared" si="258"/>
        <v>16</v>
      </c>
      <c r="T143" s="221">
        <f t="shared" si="259"/>
        <v>0.47307189542483657</v>
      </c>
      <c r="U143" s="221">
        <f t="shared" si="196"/>
        <v>1.1826797385620913</v>
      </c>
      <c r="V143" s="221">
        <f t="shared" si="197"/>
        <v>0.72468121235422267</v>
      </c>
      <c r="W143" s="201">
        <f t="shared" si="198"/>
        <v>350</v>
      </c>
      <c r="X143" s="451">
        <f t="shared" si="199"/>
        <v>350</v>
      </c>
      <c r="Z143" s="221">
        <f t="shared" si="200"/>
        <v>0.70864090316977857</v>
      </c>
      <c r="AA143" s="177">
        <f t="shared" si="201"/>
        <v>1.0855405992184108</v>
      </c>
      <c r="AB143" s="177">
        <f t="shared" si="260"/>
        <v>0.1076961858920636</v>
      </c>
      <c r="AC143" s="177"/>
      <c r="AD143" s="177">
        <f t="shared" si="203"/>
        <v>0.4595588235294118</v>
      </c>
      <c r="AE143" s="555">
        <f t="shared" si="261"/>
        <v>1196.8000000000002</v>
      </c>
      <c r="AF143" s="538">
        <f t="shared" si="262"/>
        <v>1.9301470588235291E-2</v>
      </c>
      <c r="AH143" s="177">
        <f t="shared" si="263"/>
        <v>0.54928524986047611</v>
      </c>
      <c r="AI143" s="177">
        <f t="shared" si="264"/>
        <v>0.54928524986047611</v>
      </c>
      <c r="AJ143" s="177">
        <f t="shared" si="265"/>
        <v>1.3846557406373896</v>
      </c>
      <c r="AL143" s="555">
        <f t="shared" si="266"/>
        <v>66</v>
      </c>
      <c r="AM143" s="469">
        <f t="shared" si="267"/>
        <v>350</v>
      </c>
      <c r="AO143" s="469">
        <f t="shared" si="211"/>
        <v>66</v>
      </c>
      <c r="AP143" s="469">
        <f t="shared" si="212"/>
        <v>350</v>
      </c>
      <c r="AR143" s="5">
        <f t="shared" si="249"/>
        <v>2.8571428571428572</v>
      </c>
      <c r="AS143" s="5">
        <f t="shared" si="246"/>
        <v>1.3732131246511903</v>
      </c>
      <c r="AT143" s="5">
        <f t="shared" si="247"/>
        <v>1.4839297324916669</v>
      </c>
      <c r="AU143" s="177">
        <f t="shared" si="248"/>
        <v>0.4806245936279166</v>
      </c>
      <c r="AW143" s="5">
        <f t="shared" si="216"/>
        <v>0.56645041391861595</v>
      </c>
      <c r="AX143" s="5"/>
      <c r="AY143" s="5">
        <f t="shared" si="217"/>
        <v>0.28322520695930797</v>
      </c>
      <c r="AZ143" s="5"/>
      <c r="BA143" s="5">
        <f t="shared" si="218"/>
        <v>9.0684594763379645E-2</v>
      </c>
      <c r="BB143" s="5"/>
      <c r="BC143" s="5"/>
      <c r="BD143" s="177">
        <f t="shared" si="219"/>
        <v>0.21985700349936979</v>
      </c>
      <c r="BE143" s="177">
        <f t="shared" si="220"/>
        <v>0.18283864201413294</v>
      </c>
      <c r="BF143" s="177">
        <f t="shared" si="221"/>
        <v>9.141932100706647E-2</v>
      </c>
      <c r="BG143" s="177"/>
      <c r="BH143" s="538">
        <f t="shared" si="222"/>
        <v>1.6917985695702662E-2</v>
      </c>
      <c r="BI143" s="538">
        <f t="shared" si="223"/>
        <v>3.0360094330288231E-2</v>
      </c>
      <c r="BJ143" s="538">
        <f t="shared" si="224"/>
        <v>4.3749999999999995E-3</v>
      </c>
      <c r="BK143" s="538">
        <f t="shared" si="225"/>
        <v>1.7457108480000001E-2</v>
      </c>
      <c r="BL143">
        <f t="shared" si="226"/>
        <v>3.48E-3</v>
      </c>
      <c r="BM143">
        <f t="shared" si="268"/>
        <v>6.1250000000000006E-6</v>
      </c>
      <c r="BN143">
        <f t="shared" si="269"/>
        <v>7.5114702229886338E-2</v>
      </c>
      <c r="BO143" s="469">
        <f t="shared" si="229"/>
        <v>72.590188505990895</v>
      </c>
      <c r="BP143" s="177">
        <f t="shared" si="230"/>
        <v>2.6400000000000003E-2</v>
      </c>
      <c r="BQ143" s="177">
        <f t="shared" si="231"/>
        <v>1.3200000000000002E-2</v>
      </c>
      <c r="BR143" s="538"/>
      <c r="BT143" s="469">
        <f t="shared" si="232"/>
        <v>39.6</v>
      </c>
      <c r="BU143" s="538">
        <f t="shared" si="233"/>
        <v>4.8337101987721903E-3</v>
      </c>
      <c r="BV143" s="538">
        <f t="shared" si="234"/>
        <v>1.0028990704071677E-3</v>
      </c>
      <c r="BW143" s="538">
        <f t="shared" si="235"/>
        <v>4.1787461266965323E-4</v>
      </c>
      <c r="BX143" s="538">
        <f t="shared" si="236"/>
        <v>0</v>
      </c>
      <c r="BY143" s="538">
        <f t="shared" si="180"/>
        <v>7.0085287260671057E-3</v>
      </c>
      <c r="BZ143" s="538">
        <f t="shared" si="250"/>
        <v>6.2544838818490113E-3</v>
      </c>
      <c r="CA143" s="641">
        <f t="shared" si="270"/>
        <v>5.2799999999999991E-3</v>
      </c>
      <c r="CB143" s="469">
        <f t="shared" si="238"/>
        <v>24.79749648976513</v>
      </c>
      <c r="CC143" s="177">
        <f t="shared" si="251"/>
        <v>0.12700323095595345</v>
      </c>
      <c r="CD143" s="5">
        <f t="shared" si="239"/>
        <v>1.5840000000000001</v>
      </c>
      <c r="CE143" s="177">
        <f t="shared" si="240"/>
        <v>0.92577265275823262</v>
      </c>
      <c r="CF143" s="5">
        <f t="shared" si="241"/>
        <v>92.577265275823265</v>
      </c>
      <c r="CG143">
        <f t="shared" si="242"/>
        <v>33</v>
      </c>
      <c r="CI143" s="571">
        <f t="shared" si="271"/>
        <v>-50</v>
      </c>
      <c r="CJ143">
        <f t="shared" si="272"/>
        <v>-50</v>
      </c>
    </row>
    <row r="144" spans="5:88" x14ac:dyDescent="0.25">
      <c r="E144" s="174">
        <v>34</v>
      </c>
      <c r="F144" s="221">
        <f t="shared" si="273"/>
        <v>6.8000000000000005E-2</v>
      </c>
      <c r="G144" s="221">
        <f t="shared" si="252"/>
        <v>3.4000000000000002E-2</v>
      </c>
      <c r="H144" s="221">
        <f t="shared" si="253"/>
        <v>1.0880000000000001</v>
      </c>
      <c r="I144" s="221">
        <f t="shared" si="254"/>
        <v>0.54400000000000004</v>
      </c>
      <c r="J144" s="551">
        <f t="shared" si="186"/>
        <v>12</v>
      </c>
      <c r="K144" s="451">
        <f t="shared" si="187"/>
        <v>19.584</v>
      </c>
      <c r="L144" s="451">
        <f t="shared" si="188"/>
        <v>31.584</v>
      </c>
      <c r="M144" s="451"/>
      <c r="N144" s="221">
        <f t="shared" si="189"/>
        <v>0.62006079027355621</v>
      </c>
      <c r="O144" s="176">
        <f t="shared" si="255"/>
        <v>3.3483282674772035</v>
      </c>
      <c r="P144" s="176">
        <f t="shared" si="256"/>
        <v>1.6741641337386017</v>
      </c>
      <c r="Q144" s="221">
        <f t="shared" si="192"/>
        <v>0.20927051671732522</v>
      </c>
      <c r="R144" s="221">
        <f t="shared" si="257"/>
        <v>0.20927051671732522</v>
      </c>
      <c r="S144" s="221">
        <f t="shared" si="258"/>
        <v>16</v>
      </c>
      <c r="T144" s="221">
        <f t="shared" si="259"/>
        <v>0.4874074074074074</v>
      </c>
      <c r="U144" s="221">
        <f t="shared" si="196"/>
        <v>1.2185185185185186</v>
      </c>
      <c r="V144" s="221">
        <f t="shared" si="197"/>
        <v>0.74664124909222951</v>
      </c>
      <c r="W144" s="201">
        <f t="shared" si="198"/>
        <v>350</v>
      </c>
      <c r="X144" s="451">
        <f t="shared" si="199"/>
        <v>350</v>
      </c>
      <c r="Z144" s="221">
        <f t="shared" si="200"/>
        <v>0.70864090316977857</v>
      </c>
      <c r="AA144" s="177">
        <f t="shared" si="201"/>
        <v>1.0855405992184108</v>
      </c>
      <c r="AB144" s="177">
        <f t="shared" si="260"/>
        <v>0.1076961858920636</v>
      </c>
      <c r="AC144" s="177"/>
      <c r="AD144" s="177">
        <f t="shared" si="203"/>
        <v>0.4595588235294118</v>
      </c>
      <c r="AE144" s="555">
        <f t="shared" si="261"/>
        <v>1233.0666666666668</v>
      </c>
      <c r="AF144" s="538">
        <f t="shared" si="262"/>
        <v>1.9301470588235291E-2</v>
      </c>
      <c r="AH144" s="177">
        <f t="shared" si="263"/>
        <v>0.55754564194973566</v>
      </c>
      <c r="AI144" s="177">
        <f t="shared" si="264"/>
        <v>0.55754564194973566</v>
      </c>
      <c r="AJ144" s="177">
        <f t="shared" si="265"/>
        <v>1.3907745495923969</v>
      </c>
      <c r="AL144" s="555">
        <f t="shared" si="266"/>
        <v>68</v>
      </c>
      <c r="AM144" s="469">
        <f t="shared" si="267"/>
        <v>350</v>
      </c>
      <c r="AO144" s="469">
        <f t="shared" si="211"/>
        <v>68</v>
      </c>
      <c r="AP144" s="469">
        <f t="shared" si="212"/>
        <v>350</v>
      </c>
      <c r="AR144" s="5">
        <f t="shared" si="249"/>
        <v>2.8571428571428572</v>
      </c>
      <c r="AS144" s="5">
        <f t="shared" si="246"/>
        <v>1.3938641048743392</v>
      </c>
      <c r="AT144" s="5">
        <f t="shared" si="247"/>
        <v>1.463278752268518</v>
      </c>
      <c r="AU144" s="177">
        <f t="shared" si="248"/>
        <v>0.48785243670601869</v>
      </c>
      <c r="AW144" s="5">
        <f t="shared" si="216"/>
        <v>0.59239224457159423</v>
      </c>
      <c r="AX144" s="5"/>
      <c r="AY144" s="5">
        <f t="shared" si="217"/>
        <v>0.29619612228579711</v>
      </c>
      <c r="AZ144" s="5"/>
      <c r="BA144" s="5">
        <f t="shared" si="218"/>
        <v>9.2132365883573361E-2</v>
      </c>
      <c r="BB144" s="5"/>
      <c r="BC144" s="5"/>
      <c r="BD144" s="177">
        <f t="shared" si="219"/>
        <v>0.22483506147865231</v>
      </c>
      <c r="BE144" s="177">
        <f t="shared" si="220"/>
        <v>0.18429236381174474</v>
      </c>
      <c r="BF144" s="177">
        <f t="shared" si="221"/>
        <v>9.2146181905872371E-2</v>
      </c>
      <c r="BG144" s="177"/>
      <c r="BH144" s="538">
        <f t="shared" si="222"/>
        <v>1.7692781704538276E-2</v>
      </c>
      <c r="BI144" s="538">
        <f t="shared" si="223"/>
        <v>3.0816662721845786E-2</v>
      </c>
      <c r="BJ144" s="538">
        <f t="shared" si="224"/>
        <v>4.3749999999999995E-3</v>
      </c>
      <c r="BK144" s="538">
        <f t="shared" si="225"/>
        <v>1.7457108480000001E-2</v>
      </c>
      <c r="BL144">
        <f t="shared" si="226"/>
        <v>3.48E-3</v>
      </c>
      <c r="BM144">
        <f t="shared" si="268"/>
        <v>6.1250000000000006E-6</v>
      </c>
      <c r="BN144">
        <f t="shared" si="269"/>
        <v>7.6465812180748577E-2</v>
      </c>
      <c r="BO144" s="469">
        <f t="shared" si="229"/>
        <v>73.821552906384071</v>
      </c>
      <c r="BP144" s="177">
        <f t="shared" si="230"/>
        <v>2.7200000000000002E-2</v>
      </c>
      <c r="BQ144" s="177">
        <f t="shared" si="231"/>
        <v>1.3600000000000001E-2</v>
      </c>
      <c r="BR144" s="538"/>
      <c r="BT144" s="469">
        <f t="shared" si="232"/>
        <v>40.800000000000004</v>
      </c>
      <c r="BU144" s="538">
        <f t="shared" si="233"/>
        <v>5.0550804870109368E-3</v>
      </c>
      <c r="BV144" s="538">
        <f t="shared" si="234"/>
        <v>1.0189102607796145E-3</v>
      </c>
      <c r="BW144" s="538">
        <f t="shared" si="235"/>
        <v>4.2454594199150603E-4</v>
      </c>
      <c r="BX144" s="538">
        <f t="shared" si="236"/>
        <v>0</v>
      </c>
      <c r="BY144" s="538">
        <f t="shared" si="180"/>
        <v>7.2821469564900753E-3</v>
      </c>
      <c r="BZ144" s="538">
        <f t="shared" si="250"/>
        <v>6.4985366897820571E-3</v>
      </c>
      <c r="CA144" s="641">
        <f t="shared" si="270"/>
        <v>5.4399999999999995E-3</v>
      </c>
      <c r="CB144" s="469">
        <f t="shared" si="238"/>
        <v>25.719220336054189</v>
      </c>
      <c r="CC144" s="177">
        <f t="shared" si="251"/>
        <v>0.12998795913723865</v>
      </c>
      <c r="CD144" s="5">
        <f t="shared" si="239"/>
        <v>1.6320000000000001</v>
      </c>
      <c r="CE144" s="177">
        <f t="shared" si="240"/>
        <v>0.92622653380623132</v>
      </c>
      <c r="CF144" s="5">
        <f t="shared" si="241"/>
        <v>92.622653380623134</v>
      </c>
      <c r="CG144">
        <f t="shared" si="242"/>
        <v>34</v>
      </c>
      <c r="CI144" s="571">
        <f t="shared" si="271"/>
        <v>-50</v>
      </c>
      <c r="CJ144">
        <f t="shared" si="272"/>
        <v>-50</v>
      </c>
    </row>
    <row r="145" spans="5:88" x14ac:dyDescent="0.25">
      <c r="E145" s="174">
        <v>35</v>
      </c>
      <c r="F145" s="221">
        <f t="shared" si="273"/>
        <v>6.9999999999999993E-2</v>
      </c>
      <c r="G145" s="221">
        <f t="shared" si="252"/>
        <v>3.4999999999999996E-2</v>
      </c>
      <c r="H145" s="221">
        <f t="shared" si="253"/>
        <v>1.1199999999999999</v>
      </c>
      <c r="I145" s="221">
        <f t="shared" si="254"/>
        <v>0.55999999999999994</v>
      </c>
      <c r="J145" s="551">
        <f t="shared" si="186"/>
        <v>12</v>
      </c>
      <c r="K145" s="451">
        <f t="shared" si="187"/>
        <v>19.584</v>
      </c>
      <c r="L145" s="451">
        <f t="shared" si="188"/>
        <v>31.584</v>
      </c>
      <c r="M145" s="451"/>
      <c r="N145" s="221">
        <f t="shared" si="189"/>
        <v>0.62006079027355621</v>
      </c>
      <c r="O145" s="176">
        <f t="shared" si="255"/>
        <v>3.3483282674772035</v>
      </c>
      <c r="P145" s="176">
        <f t="shared" si="256"/>
        <v>1.6741641337386017</v>
      </c>
      <c r="Q145" s="221">
        <f t="shared" si="192"/>
        <v>0.20927051671732522</v>
      </c>
      <c r="R145" s="221">
        <f t="shared" si="257"/>
        <v>0.20927051671732522</v>
      </c>
      <c r="S145" s="221">
        <f t="shared" si="258"/>
        <v>16</v>
      </c>
      <c r="T145" s="221">
        <f t="shared" si="259"/>
        <v>0.50174291938997806</v>
      </c>
      <c r="U145" s="221">
        <f t="shared" si="196"/>
        <v>1.2543572984749451</v>
      </c>
      <c r="V145" s="221">
        <f t="shared" si="197"/>
        <v>0.76860128583023601</v>
      </c>
      <c r="W145" s="201">
        <f t="shared" si="198"/>
        <v>350</v>
      </c>
      <c r="X145" s="451">
        <f t="shared" si="199"/>
        <v>350</v>
      </c>
      <c r="Z145" s="221">
        <f t="shared" si="200"/>
        <v>0.70864090316977857</v>
      </c>
      <c r="AA145" s="177">
        <f t="shared" si="201"/>
        <v>1.0855405992184108</v>
      </c>
      <c r="AB145" s="177">
        <f t="shared" si="260"/>
        <v>0.1076961858920636</v>
      </c>
      <c r="AC145" s="177"/>
      <c r="AD145" s="177">
        <f t="shared" si="203"/>
        <v>0.4595588235294118</v>
      </c>
      <c r="AE145" s="555">
        <f t="shared" si="261"/>
        <v>1269.3333333333335</v>
      </c>
      <c r="AF145" s="538">
        <f t="shared" si="262"/>
        <v>1.9301470588235291E-2</v>
      </c>
      <c r="AH145" s="177">
        <f t="shared" si="263"/>
        <v>0.56568542494923801</v>
      </c>
      <c r="AI145" s="177">
        <f t="shared" si="264"/>
        <v>0.56568542494923801</v>
      </c>
      <c r="AJ145" s="177">
        <f t="shared" si="265"/>
        <v>1.396804018480917</v>
      </c>
      <c r="AL145" s="555">
        <f t="shared" si="266"/>
        <v>69.999999999999986</v>
      </c>
      <c r="AM145" s="469">
        <f t="shared" si="267"/>
        <v>350</v>
      </c>
      <c r="AO145" s="469">
        <f t="shared" si="211"/>
        <v>69.999999999999986</v>
      </c>
      <c r="AP145" s="469">
        <f t="shared" si="212"/>
        <v>350</v>
      </c>
      <c r="AR145" s="5">
        <f t="shared" si="249"/>
        <v>2.8571428571428572</v>
      </c>
      <c r="AS145" s="5">
        <f t="shared" si="246"/>
        <v>1.4142135623730949</v>
      </c>
      <c r="AT145" s="5">
        <f t="shared" si="247"/>
        <v>1.4429292947697623</v>
      </c>
      <c r="AU145" s="177">
        <f t="shared" si="248"/>
        <v>0.49497474683058323</v>
      </c>
      <c r="AW145" s="5">
        <f t="shared" si="216"/>
        <v>0.61871843353822897</v>
      </c>
      <c r="AX145" s="5"/>
      <c r="AY145" s="5">
        <f t="shared" si="217"/>
        <v>0.30935921676911449</v>
      </c>
      <c r="AZ145" s="5"/>
      <c r="BA145" s="5">
        <f t="shared" si="218"/>
        <v>9.3523195031373463E-2</v>
      </c>
      <c r="BB145" s="5"/>
      <c r="BC145" s="5"/>
      <c r="BD145" s="177">
        <f t="shared" si="219"/>
        <v>0.22977664443671283</v>
      </c>
      <c r="BE145" s="177">
        <f t="shared" si="220"/>
        <v>0.18567819100897526</v>
      </c>
      <c r="BF145" s="177">
        <f t="shared" si="221"/>
        <v>9.2839095504487629E-2</v>
      </c>
      <c r="BG145" s="177"/>
      <c r="BH145" s="538">
        <f t="shared" si="222"/>
        <v>1.8479057215008442E-2</v>
      </c>
      <c r="BI145" s="538">
        <f t="shared" si="223"/>
        <v>3.1266564807794286E-2</v>
      </c>
      <c r="BJ145" s="538">
        <f t="shared" si="224"/>
        <v>4.3749999999999995E-3</v>
      </c>
      <c r="BK145" s="538">
        <f t="shared" si="225"/>
        <v>1.7457108480000001E-2</v>
      </c>
      <c r="BL145">
        <f t="shared" si="226"/>
        <v>3.48E-3</v>
      </c>
      <c r="BM145">
        <f t="shared" si="268"/>
        <v>6.1250000000000006E-6</v>
      </c>
      <c r="BN145">
        <f t="shared" si="269"/>
        <v>7.7823859809299956E-2</v>
      </c>
      <c r="BO145" s="469">
        <f t="shared" si="229"/>
        <v>75.057730502802713</v>
      </c>
      <c r="BP145" s="177">
        <f t="shared" si="230"/>
        <v>2.7999999999999997E-2</v>
      </c>
      <c r="BQ145" s="177">
        <f t="shared" si="231"/>
        <v>1.3999999999999999E-2</v>
      </c>
      <c r="BR145" s="538"/>
      <c r="BT145" s="469">
        <f t="shared" si="232"/>
        <v>41.999999999999993</v>
      </c>
      <c r="BU145" s="538">
        <f t="shared" si="233"/>
        <v>5.2797306328595563E-3</v>
      </c>
      <c r="BV145" s="538">
        <f t="shared" si="234"/>
        <v>1.034291718490965E-3</v>
      </c>
      <c r="BW145" s="538">
        <f t="shared" si="235"/>
        <v>4.3095488270456883E-4</v>
      </c>
      <c r="BX145" s="538">
        <f t="shared" si="236"/>
        <v>0</v>
      </c>
      <c r="BY145" s="538">
        <f t="shared" si="180"/>
        <v>7.5584530296304644E-3</v>
      </c>
      <c r="BZ145" s="538">
        <f t="shared" si="250"/>
        <v>6.7449772340550905E-3</v>
      </c>
      <c r="CA145" s="641">
        <f t="shared" si="270"/>
        <v>5.6000000000000008E-3</v>
      </c>
      <c r="CB145" s="469">
        <f t="shared" si="238"/>
        <v>26.648407497740646</v>
      </c>
      <c r="CC145" s="177">
        <f t="shared" si="251"/>
        <v>0.13298231283893042</v>
      </c>
      <c r="CD145" s="5">
        <f t="shared" si="239"/>
        <v>1.6799999999999997</v>
      </c>
      <c r="CE145" s="177">
        <f t="shared" si="240"/>
        <v>0.92664996679934797</v>
      </c>
      <c r="CF145" s="5">
        <f t="shared" si="241"/>
        <v>92.664996679934802</v>
      </c>
      <c r="CG145">
        <f t="shared" si="242"/>
        <v>34.999999999999993</v>
      </c>
      <c r="CI145" s="571">
        <f t="shared" si="271"/>
        <v>-50</v>
      </c>
      <c r="CJ145">
        <f t="shared" si="272"/>
        <v>-50</v>
      </c>
    </row>
    <row r="146" spans="5:88" x14ac:dyDescent="0.25">
      <c r="E146" s="174">
        <v>36</v>
      </c>
      <c r="F146" s="221">
        <f t="shared" si="273"/>
        <v>7.1999999999999995E-2</v>
      </c>
      <c r="G146" s="221">
        <f t="shared" si="252"/>
        <v>3.5999999999999997E-2</v>
      </c>
      <c r="H146" s="221">
        <f t="shared" si="253"/>
        <v>1.1519999999999999</v>
      </c>
      <c r="I146" s="221">
        <f t="shared" si="254"/>
        <v>0.57599999999999996</v>
      </c>
      <c r="J146" s="551">
        <f t="shared" si="186"/>
        <v>12</v>
      </c>
      <c r="K146" s="451">
        <f t="shared" si="187"/>
        <v>19.584</v>
      </c>
      <c r="L146" s="451">
        <f t="shared" si="188"/>
        <v>31.584</v>
      </c>
      <c r="M146" s="451"/>
      <c r="N146" s="221">
        <f t="shared" si="189"/>
        <v>0.62006079027355621</v>
      </c>
      <c r="O146" s="176">
        <f t="shared" si="255"/>
        <v>3.3483282674772035</v>
      </c>
      <c r="P146" s="176">
        <f t="shared" si="256"/>
        <v>1.6741641337386017</v>
      </c>
      <c r="Q146" s="221">
        <f t="shared" si="192"/>
        <v>0.20927051671732522</v>
      </c>
      <c r="R146" s="221">
        <f t="shared" si="257"/>
        <v>0.20927051671732522</v>
      </c>
      <c r="S146" s="221">
        <f t="shared" si="258"/>
        <v>16</v>
      </c>
      <c r="T146" s="221">
        <f t="shared" si="259"/>
        <v>0.51607843137254894</v>
      </c>
      <c r="U146" s="221">
        <f t="shared" si="196"/>
        <v>1.2901960784313724</v>
      </c>
      <c r="V146" s="221">
        <f t="shared" si="197"/>
        <v>0.79056132256824296</v>
      </c>
      <c r="W146" s="201">
        <f t="shared" si="198"/>
        <v>350</v>
      </c>
      <c r="X146" s="451">
        <f t="shared" si="199"/>
        <v>350</v>
      </c>
      <c r="Z146" s="221">
        <f t="shared" si="200"/>
        <v>0.70864090316977857</v>
      </c>
      <c r="AA146" s="177">
        <f t="shared" si="201"/>
        <v>1.0855405992184108</v>
      </c>
      <c r="AB146" s="177">
        <f t="shared" si="260"/>
        <v>0.1076961858920636</v>
      </c>
      <c r="AC146" s="177"/>
      <c r="AD146" s="177">
        <f t="shared" si="203"/>
        <v>0.4595588235294118</v>
      </c>
      <c r="AE146" s="555">
        <f t="shared" si="261"/>
        <v>1305.5999999999999</v>
      </c>
      <c r="AF146" s="538">
        <f t="shared" si="262"/>
        <v>1.9301470588235291E-2</v>
      </c>
      <c r="AH146" s="177">
        <f t="shared" si="263"/>
        <v>0.57370973248050894</v>
      </c>
      <c r="AI146" s="177">
        <f t="shared" si="264"/>
        <v>0.57370973248050894</v>
      </c>
      <c r="AJ146" s="177">
        <f t="shared" si="265"/>
        <v>1.4027479499855622</v>
      </c>
      <c r="AL146" s="555">
        <f t="shared" si="266"/>
        <v>72</v>
      </c>
      <c r="AM146" s="469">
        <f t="shared" si="267"/>
        <v>350</v>
      </c>
      <c r="AO146" s="469">
        <f t="shared" si="211"/>
        <v>72</v>
      </c>
      <c r="AP146" s="469">
        <f t="shared" si="212"/>
        <v>350</v>
      </c>
      <c r="AR146" s="5">
        <f t="shared" si="249"/>
        <v>2.8571428571428572</v>
      </c>
      <c r="AS146" s="5">
        <f t="shared" si="246"/>
        <v>1.4342743312012722</v>
      </c>
      <c r="AT146" s="5">
        <f t="shared" si="247"/>
        <v>1.422868525941585</v>
      </c>
      <c r="AU146" s="177">
        <f t="shared" si="248"/>
        <v>0.50199601592044529</v>
      </c>
      <c r="AW146" s="5">
        <f t="shared" si="216"/>
        <v>0.64542344904057236</v>
      </c>
      <c r="AX146" s="5"/>
      <c r="AY146" s="5">
        <f t="shared" si="217"/>
        <v>0.32271172452028618</v>
      </c>
      <c r="AZ146" s="5"/>
      <c r="BA146" s="5">
        <f t="shared" si="218"/>
        <v>9.4857901729438976E-2</v>
      </c>
      <c r="BB146" s="5"/>
      <c r="BC146" s="5"/>
      <c r="BD146" s="177">
        <f t="shared" si="219"/>
        <v>0.23468305076875248</v>
      </c>
      <c r="BE146" s="177">
        <f t="shared" si="220"/>
        <v>0.18699844088531964</v>
      </c>
      <c r="BF146" s="177">
        <f t="shared" si="221"/>
        <v>9.3499220442659819E-2</v>
      </c>
      <c r="BG146" s="177"/>
      <c r="BH146" s="538">
        <f t="shared" si="222"/>
        <v>1.9276647011345099E-2</v>
      </c>
      <c r="BI146" s="538">
        <f t="shared" si="223"/>
        <v>3.1710084333662687E-2</v>
      </c>
      <c r="BJ146" s="538">
        <f t="shared" si="224"/>
        <v>4.3749999999999995E-3</v>
      </c>
      <c r="BK146" s="538">
        <f t="shared" si="225"/>
        <v>1.7457108480000001E-2</v>
      </c>
      <c r="BL146">
        <f t="shared" si="226"/>
        <v>3.48E-3</v>
      </c>
      <c r="BM146">
        <f t="shared" si="268"/>
        <v>6.1250000000000006E-6</v>
      </c>
      <c r="BN146">
        <f t="shared" si="269"/>
        <v>7.9188950951931361E-2</v>
      </c>
      <c r="BO146" s="469">
        <f t="shared" si="229"/>
        <v>76.298839825007775</v>
      </c>
      <c r="BP146" s="177">
        <f t="shared" si="230"/>
        <v>2.8799999999999999E-2</v>
      </c>
      <c r="BQ146" s="177">
        <f t="shared" si="231"/>
        <v>1.44E-2</v>
      </c>
      <c r="BR146" s="538"/>
      <c r="BT146" s="469">
        <f t="shared" si="232"/>
        <v>43.2</v>
      </c>
      <c r="BU146" s="538">
        <f t="shared" si="233"/>
        <v>5.5076134318128855E-3</v>
      </c>
      <c r="BV146" s="538">
        <f t="shared" si="234"/>
        <v>1.0490525068062116E-3</v>
      </c>
      <c r="BW146" s="538">
        <f t="shared" si="235"/>
        <v>4.371052111692548E-4</v>
      </c>
      <c r="BX146" s="538">
        <f t="shared" si="236"/>
        <v>0</v>
      </c>
      <c r="BY146" s="538">
        <f t="shared" si="180"/>
        <v>7.8374087312088302E-3</v>
      </c>
      <c r="BZ146" s="538">
        <f t="shared" si="250"/>
        <v>6.993771149788352E-3</v>
      </c>
      <c r="CA146" s="641">
        <f t="shared" si="270"/>
        <v>5.7599999999999995E-3</v>
      </c>
      <c r="CB146" s="469">
        <f t="shared" si="238"/>
        <v>27.584951030785529</v>
      </c>
      <c r="CC146" s="177">
        <f t="shared" si="251"/>
        <v>0.13598635968314018</v>
      </c>
      <c r="CD146" s="5">
        <f t="shared" si="239"/>
        <v>1.7279999999999998</v>
      </c>
      <c r="CE146" s="177">
        <f t="shared" si="240"/>
        <v>0.9270454105113427</v>
      </c>
      <c r="CF146" s="5">
        <f t="shared" si="241"/>
        <v>92.704541051134271</v>
      </c>
      <c r="CG146">
        <f t="shared" si="242"/>
        <v>35.999999999999993</v>
      </c>
      <c r="CI146" s="571">
        <f t="shared" si="271"/>
        <v>-50</v>
      </c>
      <c r="CJ146">
        <f t="shared" si="272"/>
        <v>-50</v>
      </c>
    </row>
    <row r="147" spans="5:88" x14ac:dyDescent="0.25">
      <c r="E147" s="174">
        <v>37</v>
      </c>
      <c r="F147" s="221">
        <f t="shared" si="273"/>
        <v>7.3999999999999996E-2</v>
      </c>
      <c r="G147" s="221">
        <f t="shared" si="252"/>
        <v>3.6999999999999998E-2</v>
      </c>
      <c r="H147" s="221">
        <f t="shared" si="253"/>
        <v>1.1839999999999999</v>
      </c>
      <c r="I147" s="221">
        <f t="shared" si="254"/>
        <v>0.59199999999999997</v>
      </c>
      <c r="J147" s="551">
        <f t="shared" si="186"/>
        <v>12</v>
      </c>
      <c r="K147" s="451">
        <f t="shared" si="187"/>
        <v>19.584</v>
      </c>
      <c r="L147" s="451">
        <f t="shared" si="188"/>
        <v>31.584</v>
      </c>
      <c r="M147" s="451"/>
      <c r="N147" s="221">
        <f t="shared" si="189"/>
        <v>0.62006079027355621</v>
      </c>
      <c r="O147" s="176">
        <f t="shared" si="255"/>
        <v>3.3483282674772035</v>
      </c>
      <c r="P147" s="176">
        <f t="shared" si="256"/>
        <v>1.6741641337386017</v>
      </c>
      <c r="Q147" s="221">
        <f t="shared" si="192"/>
        <v>0.20927051671732522</v>
      </c>
      <c r="R147" s="221">
        <f t="shared" si="257"/>
        <v>0.20927051671732522</v>
      </c>
      <c r="S147" s="221">
        <f t="shared" si="258"/>
        <v>16</v>
      </c>
      <c r="T147" s="221">
        <f t="shared" si="259"/>
        <v>0.53041394335511971</v>
      </c>
      <c r="U147" s="221">
        <f t="shared" si="196"/>
        <v>1.3260348583877994</v>
      </c>
      <c r="V147" s="221">
        <f t="shared" si="197"/>
        <v>0.81252135930624958</v>
      </c>
      <c r="W147" s="201">
        <f t="shared" si="198"/>
        <v>350</v>
      </c>
      <c r="X147" s="451">
        <f t="shared" si="199"/>
        <v>350</v>
      </c>
      <c r="Z147" s="221">
        <f t="shared" si="200"/>
        <v>0.70864090316977857</v>
      </c>
      <c r="AA147" s="177">
        <f t="shared" si="201"/>
        <v>1.0855405992184108</v>
      </c>
      <c r="AB147" s="177">
        <f t="shared" si="260"/>
        <v>0.1076961858920636</v>
      </c>
      <c r="AC147" s="177"/>
      <c r="AD147" s="177">
        <f t="shared" si="203"/>
        <v>0.4595588235294118</v>
      </c>
      <c r="AE147" s="555">
        <f t="shared" si="261"/>
        <v>1341.8666666666668</v>
      </c>
      <c r="AF147" s="538">
        <f t="shared" si="262"/>
        <v>1.9301470588235291E-2</v>
      </c>
      <c r="AH147" s="177">
        <f t="shared" si="263"/>
        <v>0.58162334399997584</v>
      </c>
      <c r="AI147" s="177">
        <f t="shared" si="264"/>
        <v>0.58162334399997584</v>
      </c>
      <c r="AJ147" s="177">
        <f t="shared" si="265"/>
        <v>1.4086098844444266</v>
      </c>
      <c r="AL147" s="555">
        <f t="shared" si="266"/>
        <v>74</v>
      </c>
      <c r="AM147" s="469">
        <f t="shared" si="267"/>
        <v>350</v>
      </c>
      <c r="AO147" s="469">
        <f t="shared" si="211"/>
        <v>74</v>
      </c>
      <c r="AP147" s="469">
        <f t="shared" si="212"/>
        <v>350</v>
      </c>
      <c r="AR147" s="5">
        <f t="shared" si="249"/>
        <v>2.8571428571428572</v>
      </c>
      <c r="AS147" s="5">
        <f t="shared" si="246"/>
        <v>1.4540583599999397</v>
      </c>
      <c r="AT147" s="5">
        <f t="shared" si="247"/>
        <v>1.4030844971429175</v>
      </c>
      <c r="AU147" s="177">
        <f t="shared" si="248"/>
        <v>0.50892042599997889</v>
      </c>
      <c r="AW147" s="5">
        <f t="shared" si="216"/>
        <v>0.67250199149997203</v>
      </c>
      <c r="AX147" s="5"/>
      <c r="AY147" s="5">
        <f t="shared" si="217"/>
        <v>0.33625099574998601</v>
      </c>
      <c r="AZ147" s="5"/>
      <c r="BA147" s="5">
        <f t="shared" si="218"/>
        <v>9.6137271100533231E-2</v>
      </c>
      <c r="BB147" s="5"/>
      <c r="BC147" s="5"/>
      <c r="BD147" s="177">
        <f t="shared" si="219"/>
        <v>0.23955549797071576</v>
      </c>
      <c r="BE147" s="177">
        <f t="shared" si="220"/>
        <v>0.18825526186139011</v>
      </c>
      <c r="BF147" s="177">
        <f t="shared" si="221"/>
        <v>9.4127630930695053E-2</v>
      </c>
      <c r="BG147" s="177"/>
      <c r="BH147" s="538">
        <f t="shared" si="222"/>
        <v>2.0085392812799162E-2</v>
      </c>
      <c r="BI147" s="538">
        <f t="shared" si="223"/>
        <v>3.2147485469566667E-2</v>
      </c>
      <c r="BJ147" s="538">
        <f t="shared" si="224"/>
        <v>4.3749999999999995E-3</v>
      </c>
      <c r="BK147" s="538">
        <f t="shared" si="225"/>
        <v>1.7457108480000001E-2</v>
      </c>
      <c r="BL147">
        <f t="shared" si="226"/>
        <v>3.48E-3</v>
      </c>
      <c r="BM147">
        <f t="shared" si="268"/>
        <v>6.1250000000000006E-6</v>
      </c>
      <c r="BN147">
        <f t="shared" si="269"/>
        <v>8.0561179784789411E-2</v>
      </c>
      <c r="BO147" s="469">
        <f t="shared" si="229"/>
        <v>77.544986762365824</v>
      </c>
      <c r="BP147" s="177">
        <f t="shared" si="230"/>
        <v>2.9600000000000001E-2</v>
      </c>
      <c r="BQ147" s="177">
        <f t="shared" si="231"/>
        <v>1.4800000000000001E-2</v>
      </c>
      <c r="BR147" s="538"/>
      <c r="BT147" s="469">
        <f t="shared" si="232"/>
        <v>44.4</v>
      </c>
      <c r="BU147" s="538">
        <f t="shared" si="233"/>
        <v>5.7386836607997609E-3</v>
      </c>
      <c r="BV147" s="538">
        <f t="shared" si="234"/>
        <v>1.0632013085550168E-3</v>
      </c>
      <c r="BW147" s="538">
        <f t="shared" si="235"/>
        <v>4.4300054523125704E-4</v>
      </c>
      <c r="BX147" s="538">
        <f t="shared" si="236"/>
        <v>0</v>
      </c>
      <c r="BY147" s="538">
        <f t="shared" si="180"/>
        <v>8.1189774613125761E-3</v>
      </c>
      <c r="BZ147" s="538">
        <f t="shared" si="250"/>
        <v>7.2448855145860348E-3</v>
      </c>
      <c r="CA147" s="641">
        <f t="shared" si="270"/>
        <v>5.919999999999999E-3</v>
      </c>
      <c r="CB147" s="469">
        <f t="shared" si="238"/>
        <v>28.528748490484642</v>
      </c>
      <c r="CC147" s="177">
        <f t="shared" si="251"/>
        <v>0.13900015724610199</v>
      </c>
      <c r="CD147" s="5">
        <f t="shared" si="239"/>
        <v>1.7759999999999998</v>
      </c>
      <c r="CE147" s="177">
        <f t="shared" si="240"/>
        <v>0.92741506745044167</v>
      </c>
      <c r="CF147" s="5">
        <f t="shared" si="241"/>
        <v>92.741506745044163</v>
      </c>
      <c r="CG147">
        <f t="shared" si="242"/>
        <v>36.999999999999993</v>
      </c>
      <c r="CI147" s="571">
        <f t="shared" si="271"/>
        <v>-50</v>
      </c>
      <c r="CJ147">
        <f t="shared" si="272"/>
        <v>-50</v>
      </c>
    </row>
    <row r="148" spans="5:88" x14ac:dyDescent="0.25">
      <c r="E148" s="174">
        <v>38</v>
      </c>
      <c r="F148" s="221">
        <f t="shared" si="273"/>
        <v>7.6000000000000012E-2</v>
      </c>
      <c r="G148" s="221">
        <f t="shared" si="252"/>
        <v>3.8000000000000006E-2</v>
      </c>
      <c r="H148" s="221">
        <f t="shared" si="253"/>
        <v>1.2160000000000002</v>
      </c>
      <c r="I148" s="221">
        <f t="shared" si="254"/>
        <v>0.6080000000000001</v>
      </c>
      <c r="J148" s="551">
        <f t="shared" si="186"/>
        <v>12</v>
      </c>
      <c r="K148" s="451">
        <f t="shared" si="187"/>
        <v>19.584</v>
      </c>
      <c r="L148" s="451">
        <f t="shared" si="188"/>
        <v>31.584</v>
      </c>
      <c r="M148" s="451"/>
      <c r="N148" s="221">
        <f t="shared" si="189"/>
        <v>0.62006079027355621</v>
      </c>
      <c r="O148" s="176">
        <f t="shared" si="255"/>
        <v>3.3483282674772035</v>
      </c>
      <c r="P148" s="176">
        <f t="shared" si="256"/>
        <v>1.6741641337386017</v>
      </c>
      <c r="Q148" s="221">
        <f t="shared" si="192"/>
        <v>0.20927051671732522</v>
      </c>
      <c r="R148" s="221">
        <f t="shared" si="257"/>
        <v>0.20927051671732522</v>
      </c>
      <c r="S148" s="221">
        <f t="shared" si="258"/>
        <v>16</v>
      </c>
      <c r="T148" s="221">
        <f t="shared" si="259"/>
        <v>0.5447494553376907</v>
      </c>
      <c r="U148" s="221">
        <f t="shared" si="196"/>
        <v>1.3618736383442267</v>
      </c>
      <c r="V148" s="221">
        <f t="shared" si="197"/>
        <v>0.83448139604425664</v>
      </c>
      <c r="W148" s="201">
        <f t="shared" si="198"/>
        <v>350</v>
      </c>
      <c r="X148" s="451">
        <f t="shared" si="199"/>
        <v>350</v>
      </c>
      <c r="Z148" s="221">
        <f t="shared" si="200"/>
        <v>0.70864090316977857</v>
      </c>
      <c r="AA148" s="177">
        <f t="shared" si="201"/>
        <v>1.0855405992184108</v>
      </c>
      <c r="AB148" s="177">
        <f t="shared" si="260"/>
        <v>0.1076961858920636</v>
      </c>
      <c r="AC148" s="177"/>
      <c r="AD148" s="177">
        <f t="shared" si="203"/>
        <v>0.4595588235294118</v>
      </c>
      <c r="AE148" s="555">
        <f t="shared" si="261"/>
        <v>1378.1333333333339</v>
      </c>
      <c r="AF148" s="538">
        <f t="shared" si="262"/>
        <v>1.9301470588235291E-2</v>
      </c>
      <c r="AH148" s="177">
        <f t="shared" si="263"/>
        <v>0.58943071809040581</v>
      </c>
      <c r="AI148" s="177">
        <f t="shared" si="264"/>
        <v>0.58943071809040581</v>
      </c>
      <c r="AJ148" s="177">
        <f t="shared" si="265"/>
        <v>1.4143931245114116</v>
      </c>
      <c r="AL148" s="555">
        <f t="shared" si="266"/>
        <v>76.000000000000014</v>
      </c>
      <c r="AM148" s="469">
        <f t="shared" si="267"/>
        <v>350</v>
      </c>
      <c r="AO148" s="469">
        <f t="shared" si="211"/>
        <v>76.000000000000014</v>
      </c>
      <c r="AP148" s="469">
        <f t="shared" si="212"/>
        <v>350</v>
      </c>
      <c r="AR148" s="5">
        <f t="shared" si="249"/>
        <v>2.8571428571428572</v>
      </c>
      <c r="AS148" s="5">
        <f t="shared" si="246"/>
        <v>1.4735767952260144</v>
      </c>
      <c r="AT148" s="5">
        <f t="shared" si="247"/>
        <v>1.3835660619168428</v>
      </c>
      <c r="AU148" s="177">
        <f t="shared" si="248"/>
        <v>0.51575187832910496</v>
      </c>
      <c r="AW148" s="5">
        <f t="shared" si="216"/>
        <v>0.69994897773235687</v>
      </c>
      <c r="AX148" s="5"/>
      <c r="AY148" s="5">
        <f t="shared" si="217"/>
        <v>0.34997448886617843</v>
      </c>
      <c r="AZ148" s="5"/>
      <c r="BA148" s="5">
        <f t="shared" si="218"/>
        <v>9.7362056208963044E-2</v>
      </c>
      <c r="BB148" s="5"/>
      <c r="BC148" s="5"/>
      <c r="BD148" s="177">
        <f t="shared" si="219"/>
        <v>0.24439512972471672</v>
      </c>
      <c r="BE148" s="177">
        <f t="shared" si="220"/>
        <v>0.18945064898509092</v>
      </c>
      <c r="BF148" s="177">
        <f t="shared" si="221"/>
        <v>9.4725324492545462E-2</v>
      </c>
      <c r="BG148" s="177"/>
      <c r="BH148" s="538">
        <f t="shared" si="222"/>
        <v>2.0905142801606387E-2</v>
      </c>
      <c r="BI148" s="538">
        <f t="shared" si="223"/>
        <v>3.2579014650292906E-2</v>
      </c>
      <c r="BJ148" s="538">
        <f t="shared" si="224"/>
        <v>4.3749999999999995E-3</v>
      </c>
      <c r="BK148" s="538">
        <f t="shared" si="225"/>
        <v>1.7457108480000001E-2</v>
      </c>
      <c r="BL148">
        <f t="shared" si="226"/>
        <v>3.48E-3</v>
      </c>
      <c r="BM148">
        <f t="shared" si="268"/>
        <v>6.1250000000000006E-6</v>
      </c>
      <c r="BN148">
        <f t="shared" si="269"/>
        <v>8.1940630126026204E-2</v>
      </c>
      <c r="BO148" s="469">
        <f t="shared" si="229"/>
        <v>78.796265931899285</v>
      </c>
      <c r="BP148" s="177">
        <f t="shared" si="230"/>
        <v>3.0400000000000007E-2</v>
      </c>
      <c r="BQ148" s="177">
        <f t="shared" si="231"/>
        <v>1.5200000000000003E-2</v>
      </c>
      <c r="BR148" s="538"/>
      <c r="BT148" s="469">
        <f t="shared" si="232"/>
        <v>45.600000000000009</v>
      </c>
      <c r="BU148" s="538">
        <f t="shared" si="233"/>
        <v>5.9728979433161114E-3</v>
      </c>
      <c r="BV148" s="538">
        <f t="shared" si="234"/>
        <v>1.0767464520261641E-3</v>
      </c>
      <c r="BW148" s="538">
        <f t="shared" si="235"/>
        <v>4.4864435501090175E-4</v>
      </c>
      <c r="BX148" s="538">
        <f t="shared" si="236"/>
        <v>0</v>
      </c>
      <c r="BY148" s="538">
        <f t="shared" si="180"/>
        <v>8.4031241244827935E-3</v>
      </c>
      <c r="BZ148" s="538">
        <f t="shared" si="250"/>
        <v>7.4982887503531768E-3</v>
      </c>
      <c r="CA148" s="641">
        <f t="shared" si="270"/>
        <v>6.0800000000000012E-3</v>
      </c>
      <c r="CB148" s="469">
        <f t="shared" si="238"/>
        <v>29.479701625189151</v>
      </c>
      <c r="CC148" s="177">
        <f t="shared" si="251"/>
        <v>0.142023754250509</v>
      </c>
      <c r="CD148" s="5">
        <f t="shared" si="239"/>
        <v>1.8240000000000003</v>
      </c>
      <c r="CE148" s="177">
        <f t="shared" si="240"/>
        <v>0.92776091644698799</v>
      </c>
      <c r="CF148" s="5">
        <f t="shared" si="241"/>
        <v>92.776091644698795</v>
      </c>
      <c r="CG148">
        <f t="shared" si="242"/>
        <v>38.000000000000007</v>
      </c>
      <c r="CI148" s="571">
        <f t="shared" si="271"/>
        <v>-50</v>
      </c>
      <c r="CJ148">
        <f t="shared" si="272"/>
        <v>-50</v>
      </c>
    </row>
    <row r="149" spans="5:88" x14ac:dyDescent="0.25">
      <c r="E149" s="174">
        <v>39</v>
      </c>
      <c r="F149" s="221">
        <f t="shared" si="273"/>
        <v>7.8000000000000014E-2</v>
      </c>
      <c r="G149" s="221">
        <f t="shared" si="252"/>
        <v>3.9000000000000007E-2</v>
      </c>
      <c r="H149" s="221">
        <f t="shared" si="253"/>
        <v>1.2480000000000002</v>
      </c>
      <c r="I149" s="221">
        <f t="shared" si="254"/>
        <v>0.62400000000000011</v>
      </c>
      <c r="J149" s="551">
        <f t="shared" si="186"/>
        <v>12</v>
      </c>
      <c r="K149" s="451">
        <f t="shared" si="187"/>
        <v>19.584</v>
      </c>
      <c r="L149" s="451">
        <f t="shared" si="188"/>
        <v>31.584</v>
      </c>
      <c r="M149" s="451"/>
      <c r="N149" s="221">
        <f t="shared" si="189"/>
        <v>0.62006079027355621</v>
      </c>
      <c r="O149" s="176">
        <f t="shared" si="255"/>
        <v>3.3483282674772035</v>
      </c>
      <c r="P149" s="176">
        <f t="shared" si="256"/>
        <v>1.6741641337386017</v>
      </c>
      <c r="Q149" s="221">
        <f t="shared" si="192"/>
        <v>0.20927051671732522</v>
      </c>
      <c r="R149" s="221">
        <f t="shared" si="257"/>
        <v>0.20927051671732522</v>
      </c>
      <c r="S149" s="221">
        <f t="shared" si="258"/>
        <v>16</v>
      </c>
      <c r="T149" s="221">
        <f t="shared" si="259"/>
        <v>0.55908496732026147</v>
      </c>
      <c r="U149" s="221">
        <f t="shared" si="196"/>
        <v>1.3977124183006537</v>
      </c>
      <c r="V149" s="221">
        <f t="shared" si="197"/>
        <v>0.85644143278226337</v>
      </c>
      <c r="W149" s="201">
        <f t="shared" si="198"/>
        <v>350</v>
      </c>
      <c r="X149" s="451">
        <f t="shared" si="199"/>
        <v>350</v>
      </c>
      <c r="Z149" s="221">
        <f t="shared" si="200"/>
        <v>0.70864090316977857</v>
      </c>
      <c r="AA149" s="177">
        <f t="shared" si="201"/>
        <v>1.0855405992184108</v>
      </c>
      <c r="AB149" s="177">
        <f t="shared" si="260"/>
        <v>0.1076961858920636</v>
      </c>
      <c r="AC149" s="177"/>
      <c r="AD149" s="177">
        <f t="shared" si="203"/>
        <v>0.4595588235294118</v>
      </c>
      <c r="AE149" s="555">
        <f t="shared" si="261"/>
        <v>1414.4000000000005</v>
      </c>
      <c r="AF149" s="538">
        <f t="shared" si="262"/>
        <v>1.9301470588235291E-2</v>
      </c>
      <c r="AH149" s="177">
        <f t="shared" si="263"/>
        <v>0.59713602183374326</v>
      </c>
      <c r="AI149" s="177">
        <f t="shared" si="264"/>
        <v>0.59713602183374326</v>
      </c>
      <c r="AJ149" s="177">
        <f t="shared" si="265"/>
        <v>1.4201007569138839</v>
      </c>
      <c r="AL149" s="555">
        <f t="shared" si="266"/>
        <v>78.000000000000014</v>
      </c>
      <c r="AM149" s="469">
        <f t="shared" si="267"/>
        <v>350</v>
      </c>
      <c r="AO149" s="469">
        <f t="shared" si="211"/>
        <v>78.000000000000014</v>
      </c>
      <c r="AP149" s="469">
        <f t="shared" si="212"/>
        <v>350</v>
      </c>
      <c r="AR149" s="5">
        <f t="shared" si="249"/>
        <v>2.8571428571428572</v>
      </c>
      <c r="AS149" s="5">
        <f t="shared" si="246"/>
        <v>1.4928400545843583</v>
      </c>
      <c r="AT149" s="5">
        <f t="shared" si="247"/>
        <v>1.3643028025584989</v>
      </c>
      <c r="AU149" s="177">
        <f t="shared" si="248"/>
        <v>0.52249401910452542</v>
      </c>
      <c r="AW149" s="5">
        <f t="shared" si="216"/>
        <v>0.72775952660987475</v>
      </c>
      <c r="AX149" s="5"/>
      <c r="AY149" s="5">
        <f t="shared" si="217"/>
        <v>0.36387976330493738</v>
      </c>
      <c r="AZ149" s="5"/>
      <c r="BA149" s="5">
        <f t="shared" si="218"/>
        <v>9.8532980184780489E-2</v>
      </c>
      <c r="BB149" s="5"/>
      <c r="BC149" s="5"/>
      <c r="BD149" s="177">
        <f t="shared" si="219"/>
        <v>0.2492030221941727</v>
      </c>
      <c r="BE149" s="177">
        <f t="shared" si="220"/>
        <v>0.1905864575863602</v>
      </c>
      <c r="BF149" s="177">
        <f t="shared" si="221"/>
        <v>9.5293228793180099E-2</v>
      </c>
      <c r="BG149" s="177"/>
      <c r="BH149" s="538">
        <f t="shared" si="222"/>
        <v>2.1735751194748267E-2</v>
      </c>
      <c r="BI149" s="538">
        <f t="shared" si="223"/>
        <v>3.3004902198794657E-2</v>
      </c>
      <c r="BJ149" s="538">
        <f t="shared" si="224"/>
        <v>4.3749999999999995E-3</v>
      </c>
      <c r="BK149" s="538">
        <f t="shared" si="225"/>
        <v>1.7457108480000001E-2</v>
      </c>
      <c r="BL149">
        <f t="shared" si="226"/>
        <v>3.48E-3</v>
      </c>
      <c r="BM149">
        <f t="shared" si="268"/>
        <v>6.1250000000000006E-6</v>
      </c>
      <c r="BN149">
        <f t="shared" si="269"/>
        <v>8.3327376571371792E-2</v>
      </c>
      <c r="BO149" s="469">
        <f t="shared" si="229"/>
        <v>80.05276187354292</v>
      </c>
      <c r="BP149" s="177">
        <f t="shared" si="230"/>
        <v>3.1200000000000006E-2</v>
      </c>
      <c r="BQ149" s="177">
        <f t="shared" si="231"/>
        <v>1.5600000000000003E-2</v>
      </c>
      <c r="BR149" s="538"/>
      <c r="BT149" s="469">
        <f t="shared" si="232"/>
        <v>46.800000000000011</v>
      </c>
      <c r="BU149" s="538">
        <f t="shared" si="233"/>
        <v>6.2102146270709337E-3</v>
      </c>
      <c r="BV149" s="538">
        <f t="shared" si="234"/>
        <v>1.0896959344595242E-3</v>
      </c>
      <c r="BW149" s="538">
        <f t="shared" si="235"/>
        <v>4.5403997269146843E-4</v>
      </c>
      <c r="BX149" s="538">
        <f t="shared" si="236"/>
        <v>0</v>
      </c>
      <c r="BY149" s="538">
        <f t="shared" si="180"/>
        <v>8.689815030000091E-3</v>
      </c>
      <c r="BZ149" s="538">
        <f t="shared" si="250"/>
        <v>7.7539505342219261E-3</v>
      </c>
      <c r="CA149" s="641">
        <f t="shared" si="270"/>
        <v>6.2400000000000034E-3</v>
      </c>
      <c r="CB149" s="469">
        <f t="shared" si="238"/>
        <v>30.437716098443943</v>
      </c>
      <c r="CC149" s="177">
        <f t="shared" si="251"/>
        <v>0.1450571916013719</v>
      </c>
      <c r="CD149" s="5">
        <f t="shared" si="239"/>
        <v>1.8720000000000003</v>
      </c>
      <c r="CE149" s="177">
        <f t="shared" si="240"/>
        <v>0.92808474038051003</v>
      </c>
      <c r="CF149" s="5">
        <f t="shared" si="241"/>
        <v>92.808474038051003</v>
      </c>
      <c r="CG149">
        <f t="shared" si="242"/>
        <v>39.000000000000007</v>
      </c>
      <c r="CI149" s="571">
        <f t="shared" si="271"/>
        <v>-50</v>
      </c>
      <c r="CJ149">
        <f t="shared" si="272"/>
        <v>-50</v>
      </c>
    </row>
    <row r="150" spans="5:88" x14ac:dyDescent="0.25">
      <c r="E150" s="174">
        <v>40</v>
      </c>
      <c r="F150" s="221">
        <f t="shared" si="273"/>
        <v>8.0000000000000016E-2</v>
      </c>
      <c r="G150" s="221">
        <f t="shared" si="252"/>
        <v>4.0000000000000008E-2</v>
      </c>
      <c r="H150" s="221">
        <f t="shared" si="253"/>
        <v>1.2800000000000002</v>
      </c>
      <c r="I150" s="221">
        <f t="shared" si="254"/>
        <v>0.64000000000000012</v>
      </c>
      <c r="J150" s="551">
        <f t="shared" si="186"/>
        <v>12</v>
      </c>
      <c r="K150" s="451">
        <f t="shared" si="187"/>
        <v>19.584</v>
      </c>
      <c r="L150" s="451">
        <f t="shared" si="188"/>
        <v>31.584</v>
      </c>
      <c r="M150" s="451"/>
      <c r="N150" s="221">
        <f t="shared" si="189"/>
        <v>0.62006079027355621</v>
      </c>
      <c r="O150" s="176">
        <f t="shared" si="255"/>
        <v>3.3483282674772035</v>
      </c>
      <c r="P150" s="176">
        <f t="shared" si="256"/>
        <v>1.6741641337386017</v>
      </c>
      <c r="Q150" s="221">
        <f t="shared" si="192"/>
        <v>0.20927051671732522</v>
      </c>
      <c r="R150" s="221">
        <f t="shared" si="257"/>
        <v>0.20927051671732522</v>
      </c>
      <c r="S150" s="221">
        <f t="shared" si="258"/>
        <v>16</v>
      </c>
      <c r="T150" s="221">
        <f t="shared" si="259"/>
        <v>0.57342047930283235</v>
      </c>
      <c r="U150" s="221">
        <f t="shared" si="196"/>
        <v>1.433551198257081</v>
      </c>
      <c r="V150" s="221">
        <f t="shared" si="197"/>
        <v>0.87840146952027021</v>
      </c>
      <c r="W150" s="201">
        <f t="shared" si="198"/>
        <v>350</v>
      </c>
      <c r="X150" s="451">
        <f t="shared" si="199"/>
        <v>350</v>
      </c>
      <c r="Z150" s="221">
        <f t="shared" si="200"/>
        <v>0.70864090316977857</v>
      </c>
      <c r="AA150" s="177">
        <f t="shared" si="201"/>
        <v>1.0855405992184108</v>
      </c>
      <c r="AB150" s="177">
        <f t="shared" si="260"/>
        <v>0.1076961858920636</v>
      </c>
      <c r="AC150" s="177"/>
      <c r="AD150" s="177">
        <f t="shared" si="203"/>
        <v>0.4595588235294118</v>
      </c>
      <c r="AE150" s="555">
        <f t="shared" si="261"/>
        <v>1450.6666666666672</v>
      </c>
      <c r="AF150" s="538">
        <f t="shared" si="262"/>
        <v>1.9301470588235291E-2</v>
      </c>
      <c r="AH150" s="177">
        <f t="shared" si="263"/>
        <v>0.60474315681476365</v>
      </c>
      <c r="AI150" s="177">
        <f t="shared" si="264"/>
        <v>0.60474315681476365</v>
      </c>
      <c r="AJ150" s="177">
        <f t="shared" si="265"/>
        <v>1.4257356717146397</v>
      </c>
      <c r="AL150" s="555">
        <f t="shared" si="266"/>
        <v>80.000000000000014</v>
      </c>
      <c r="AM150" s="469">
        <f t="shared" si="267"/>
        <v>350</v>
      </c>
      <c r="AO150" s="469">
        <f t="shared" si="211"/>
        <v>80.000000000000014</v>
      </c>
      <c r="AP150" s="469">
        <f t="shared" si="212"/>
        <v>350</v>
      </c>
      <c r="AR150" s="5">
        <f t="shared" si="249"/>
        <v>2.8571428571428572</v>
      </c>
      <c r="AS150" s="5">
        <f t="shared" si="246"/>
        <v>1.5118578920369092</v>
      </c>
      <c r="AT150" s="5">
        <f t="shared" si="247"/>
        <v>1.345284965105948</v>
      </c>
      <c r="AU150" s="177">
        <f t="shared" si="248"/>
        <v>0.52915026221291817</v>
      </c>
      <c r="AW150" s="5">
        <f t="shared" si="216"/>
        <v>0.75592894601845473</v>
      </c>
      <c r="AX150" s="5"/>
      <c r="AY150" s="5">
        <f t="shared" si="217"/>
        <v>0.37796447300922736</v>
      </c>
      <c r="AZ150" s="5"/>
      <c r="BA150" s="5">
        <f t="shared" si="218"/>
        <v>9.9650738155996163E-2</v>
      </c>
      <c r="BB150" s="5"/>
      <c r="BC150" s="5"/>
      <c r="BD150" s="177">
        <f t="shared" si="219"/>
        <v>0.25398018963475899</v>
      </c>
      <c r="BE150" s="177">
        <f t="shared" si="220"/>
        <v>0.1916644153561804</v>
      </c>
      <c r="BF150" s="177">
        <f t="shared" si="221"/>
        <v>9.5832207678090198E-2</v>
      </c>
      <c r="BG150" s="177"/>
      <c r="BH150" s="538">
        <f t="shared" si="222"/>
        <v>2.257707785441785E-2</v>
      </c>
      <c r="BI150" s="538">
        <f t="shared" si="223"/>
        <v>3.342536376346561E-2</v>
      </c>
      <c r="BJ150" s="538">
        <f t="shared" si="224"/>
        <v>4.3749999999999995E-3</v>
      </c>
      <c r="BK150" s="538">
        <f t="shared" si="225"/>
        <v>1.7457108480000001E-2</v>
      </c>
      <c r="BL150">
        <f t="shared" si="226"/>
        <v>3.48E-3</v>
      </c>
      <c r="BM150">
        <f t="shared" si="268"/>
        <v>6.1250000000000006E-6</v>
      </c>
      <c r="BN150">
        <f t="shared" si="269"/>
        <v>8.4721485487595116E-2</v>
      </c>
      <c r="BO150" s="469">
        <f t="shared" si="229"/>
        <v>81.314550097883455</v>
      </c>
      <c r="BP150" s="177">
        <f t="shared" si="230"/>
        <v>3.2000000000000008E-2</v>
      </c>
      <c r="BQ150" s="177">
        <f t="shared" si="231"/>
        <v>1.6000000000000004E-2</v>
      </c>
      <c r="BR150" s="538"/>
      <c r="BT150" s="469">
        <f t="shared" si="232"/>
        <v>48.000000000000014</v>
      </c>
      <c r="BU150" s="538">
        <f t="shared" si="233"/>
        <v>6.4505936726908146E-3</v>
      </c>
      <c r="BV150" s="538">
        <f t="shared" si="234"/>
        <v>1.1020574434147932E-3</v>
      </c>
      <c r="BW150" s="538">
        <f t="shared" si="235"/>
        <v>4.5919060142283054E-4</v>
      </c>
      <c r="BX150" s="538">
        <f t="shared" si="236"/>
        <v>0</v>
      </c>
      <c r="BY150" s="538">
        <f t="shared" si="180"/>
        <v>8.9790178011840086E-3</v>
      </c>
      <c r="BZ150" s="538">
        <f t="shared" si="250"/>
        <v>8.0118417175284382E-3</v>
      </c>
      <c r="CA150" s="641">
        <f t="shared" si="270"/>
        <v>6.400000000000002E-3</v>
      </c>
      <c r="CB150" s="469">
        <f t="shared" si="238"/>
        <v>31.402701236240887</v>
      </c>
      <c r="CC150" s="177">
        <f t="shared" si="251"/>
        <v>0.14810050328877913</v>
      </c>
      <c r="CD150" s="5">
        <f t="shared" si="239"/>
        <v>1.9200000000000004</v>
      </c>
      <c r="CE150" s="177">
        <f t="shared" si="240"/>
        <v>0.9283881498731501</v>
      </c>
      <c r="CF150" s="5">
        <f t="shared" si="241"/>
        <v>92.838814987315004</v>
      </c>
      <c r="CG150">
        <f t="shared" si="242"/>
        <v>40.000000000000007</v>
      </c>
      <c r="CI150" s="571">
        <f t="shared" si="271"/>
        <v>-50</v>
      </c>
      <c r="CJ150">
        <f t="shared" si="272"/>
        <v>-50</v>
      </c>
    </row>
    <row r="151" spans="5:88" x14ac:dyDescent="0.25">
      <c r="E151" s="174">
        <v>41</v>
      </c>
      <c r="F151" s="221">
        <f t="shared" si="273"/>
        <v>8.2000000000000003E-2</v>
      </c>
      <c r="G151" s="221">
        <f t="shared" si="252"/>
        <v>4.1000000000000002E-2</v>
      </c>
      <c r="H151" s="221">
        <f t="shared" si="253"/>
        <v>1.3120000000000001</v>
      </c>
      <c r="I151" s="221">
        <f t="shared" si="254"/>
        <v>0.65600000000000003</v>
      </c>
      <c r="J151" s="551">
        <f t="shared" si="186"/>
        <v>12</v>
      </c>
      <c r="K151" s="451">
        <f t="shared" si="187"/>
        <v>19.584</v>
      </c>
      <c r="L151" s="451">
        <f t="shared" si="188"/>
        <v>31.584</v>
      </c>
      <c r="M151" s="451"/>
      <c r="N151" s="221">
        <f t="shared" si="189"/>
        <v>0.62006079027355621</v>
      </c>
      <c r="O151" s="176">
        <f t="shared" si="255"/>
        <v>3.3483282674772035</v>
      </c>
      <c r="P151" s="176">
        <f t="shared" si="256"/>
        <v>1.6741641337386017</v>
      </c>
      <c r="Q151" s="221">
        <f t="shared" si="192"/>
        <v>0.20927051671732522</v>
      </c>
      <c r="R151" s="221">
        <f t="shared" si="257"/>
        <v>0.20927051671732522</v>
      </c>
      <c r="S151" s="221">
        <f t="shared" si="258"/>
        <v>16</v>
      </c>
      <c r="T151" s="221">
        <f t="shared" si="259"/>
        <v>0.58775599128540301</v>
      </c>
      <c r="U151" s="221">
        <f t="shared" si="196"/>
        <v>1.4693899782135078</v>
      </c>
      <c r="V151" s="221">
        <f t="shared" si="197"/>
        <v>0.90036150625827671</v>
      </c>
      <c r="W151" s="201">
        <f t="shared" si="198"/>
        <v>350</v>
      </c>
      <c r="X151" s="451">
        <f t="shared" si="199"/>
        <v>350</v>
      </c>
      <c r="Z151" s="221">
        <f t="shared" si="200"/>
        <v>0.70864090316977857</v>
      </c>
      <c r="AA151" s="177">
        <f t="shared" si="201"/>
        <v>1.0855405992184108</v>
      </c>
      <c r="AB151" s="177">
        <f t="shared" si="260"/>
        <v>0.1076961858920636</v>
      </c>
      <c r="AC151" s="177"/>
      <c r="AD151" s="177">
        <f t="shared" si="203"/>
        <v>0.4595588235294118</v>
      </c>
      <c r="AE151" s="555">
        <f t="shared" si="261"/>
        <v>1486.9333333333338</v>
      </c>
      <c r="AF151" s="538">
        <f t="shared" si="262"/>
        <v>1.9301470588235291E-2</v>
      </c>
      <c r="AH151" s="177">
        <f t="shared" si="263"/>
        <v>0.61225578221617705</v>
      </c>
      <c r="AI151" s="177">
        <f t="shared" si="264"/>
        <v>0.61225578221617705</v>
      </c>
      <c r="AJ151" s="177">
        <f t="shared" si="265"/>
        <v>1.4313005794193905</v>
      </c>
      <c r="AL151" s="555">
        <f t="shared" si="266"/>
        <v>82</v>
      </c>
      <c r="AM151" s="469">
        <f t="shared" si="267"/>
        <v>350</v>
      </c>
      <c r="AO151" s="469">
        <f t="shared" si="211"/>
        <v>82</v>
      </c>
      <c r="AP151" s="469">
        <f t="shared" si="212"/>
        <v>350</v>
      </c>
      <c r="AR151" s="5">
        <f t="shared" si="249"/>
        <v>2.8571428571428572</v>
      </c>
      <c r="AS151" s="5">
        <f t="shared" si="246"/>
        <v>1.5306394555404428</v>
      </c>
      <c r="AT151" s="5">
        <f t="shared" si="247"/>
        <v>1.3265034016024144</v>
      </c>
      <c r="AU151" s="177">
        <f t="shared" si="248"/>
        <v>0.53572380943915499</v>
      </c>
      <c r="AW151" s="5">
        <f t="shared" si="216"/>
        <v>0.78445272096447682</v>
      </c>
      <c r="AX151" s="5"/>
      <c r="AY151" s="5">
        <f t="shared" si="217"/>
        <v>0.39222636048223841</v>
      </c>
      <c r="AZ151" s="5"/>
      <c r="BA151" s="5">
        <f t="shared" si="218"/>
        <v>0.10071599901055367</v>
      </c>
      <c r="BB151" s="5"/>
      <c r="BC151" s="5"/>
      <c r="BD151" s="177">
        <f t="shared" si="219"/>
        <v>0.25872758941075846</v>
      </c>
      <c r="BE151" s="177">
        <f t="shared" si="220"/>
        <v>0.19268613306424126</v>
      </c>
      <c r="BF151" s="177">
        <f t="shared" si="221"/>
        <v>9.634306653212063E-2</v>
      </c>
      <c r="BG151" s="177"/>
      <c r="BH151" s="538">
        <f t="shared" si="222"/>
        <v>2.3428987932805703E-2</v>
      </c>
      <c r="BI151" s="538">
        <f t="shared" si="223"/>
        <v>3.384060159465254E-2</v>
      </c>
      <c r="BJ151" s="538">
        <f t="shared" si="224"/>
        <v>4.3749999999999995E-3</v>
      </c>
      <c r="BK151" s="538">
        <f t="shared" si="225"/>
        <v>1.7457108480000001E-2</v>
      </c>
      <c r="BL151">
        <f t="shared" si="226"/>
        <v>3.48E-3</v>
      </c>
      <c r="BM151">
        <f t="shared" si="268"/>
        <v>6.1250000000000006E-6</v>
      </c>
      <c r="BN151">
        <f t="shared" si="269"/>
        <v>8.6123015884316798E-2</v>
      </c>
      <c r="BO151" s="469">
        <f t="shared" si="229"/>
        <v>82.581698007458243</v>
      </c>
      <c r="BP151" s="177">
        <f t="shared" si="230"/>
        <v>3.2800000000000003E-2</v>
      </c>
      <c r="BQ151" s="177">
        <f t="shared" si="231"/>
        <v>1.6400000000000001E-2</v>
      </c>
      <c r="BR151" s="538"/>
      <c r="BT151" s="469">
        <f t="shared" si="232"/>
        <v>49.20000000000001</v>
      </c>
      <c r="BU151" s="538">
        <f t="shared" si="233"/>
        <v>6.6939965522302015E-3</v>
      </c>
      <c r="BV151" s="538">
        <f t="shared" si="234"/>
        <v>1.1138383762575148E-3</v>
      </c>
      <c r="BW151" s="538">
        <f t="shared" si="235"/>
        <v>4.640993234406312E-4</v>
      </c>
      <c r="BX151" s="538">
        <f t="shared" si="236"/>
        <v>0</v>
      </c>
      <c r="BY151" s="538">
        <f t="shared" si="180"/>
        <v>9.2707012926847385E-3</v>
      </c>
      <c r="BZ151" s="538">
        <f t="shared" si="250"/>
        <v>8.2719342519283479E-3</v>
      </c>
      <c r="CA151" s="641">
        <f t="shared" si="270"/>
        <v>6.5600000000000007E-3</v>
      </c>
      <c r="CB151" s="469">
        <f t="shared" si="238"/>
        <v>32.374569796541437</v>
      </c>
      <c r="CC151" s="177">
        <f t="shared" si="251"/>
        <v>0.15115371717700155</v>
      </c>
      <c r="CD151" s="5">
        <f t="shared" si="239"/>
        <v>1.968</v>
      </c>
      <c r="CE151" s="177">
        <f t="shared" si="240"/>
        <v>0.92867260361916604</v>
      </c>
      <c r="CF151" s="5">
        <f t="shared" si="241"/>
        <v>92.867260361916607</v>
      </c>
      <c r="CG151">
        <f t="shared" si="242"/>
        <v>41</v>
      </c>
      <c r="CI151" s="571">
        <f t="shared" si="271"/>
        <v>-50</v>
      </c>
      <c r="CJ151">
        <f t="shared" si="272"/>
        <v>-50</v>
      </c>
    </row>
    <row r="152" spans="5:88" x14ac:dyDescent="0.25">
      <c r="E152" s="174">
        <v>42</v>
      </c>
      <c r="F152" s="221">
        <f t="shared" si="273"/>
        <v>8.4000000000000005E-2</v>
      </c>
      <c r="G152" s="221">
        <f t="shared" si="252"/>
        <v>4.2000000000000003E-2</v>
      </c>
      <c r="H152" s="221">
        <f t="shared" si="253"/>
        <v>1.3440000000000001</v>
      </c>
      <c r="I152" s="221">
        <f t="shared" si="254"/>
        <v>0.67200000000000004</v>
      </c>
      <c r="J152" s="551">
        <f t="shared" si="186"/>
        <v>12</v>
      </c>
      <c r="K152" s="451">
        <f t="shared" si="187"/>
        <v>19.584</v>
      </c>
      <c r="L152" s="451">
        <f t="shared" si="188"/>
        <v>31.584</v>
      </c>
      <c r="M152" s="451"/>
      <c r="N152" s="221">
        <f t="shared" si="189"/>
        <v>0.62006079027355621</v>
      </c>
      <c r="O152" s="176">
        <f t="shared" si="255"/>
        <v>3.3483282674772035</v>
      </c>
      <c r="P152" s="176">
        <f t="shared" si="256"/>
        <v>1.6741641337386017</v>
      </c>
      <c r="Q152" s="221">
        <f t="shared" si="192"/>
        <v>0.20927051671732522</v>
      </c>
      <c r="R152" s="221">
        <f t="shared" si="257"/>
        <v>0.20927051671732522</v>
      </c>
      <c r="S152" s="221">
        <f t="shared" si="258"/>
        <v>16</v>
      </c>
      <c r="T152" s="221">
        <f t="shared" si="259"/>
        <v>0.60209150326797378</v>
      </c>
      <c r="U152" s="221">
        <f t="shared" si="196"/>
        <v>1.5052287581699344</v>
      </c>
      <c r="V152" s="221">
        <f t="shared" si="197"/>
        <v>0.92232154299628333</v>
      </c>
      <c r="W152" s="201">
        <f t="shared" si="198"/>
        <v>350</v>
      </c>
      <c r="X152" s="451">
        <f t="shared" si="199"/>
        <v>350</v>
      </c>
      <c r="Z152" s="221">
        <f t="shared" si="200"/>
        <v>0.70864090316977857</v>
      </c>
      <c r="AA152" s="177">
        <f t="shared" si="201"/>
        <v>1.0855405992184108</v>
      </c>
      <c r="AB152" s="177">
        <f t="shared" si="260"/>
        <v>0.1076961858920636</v>
      </c>
      <c r="AC152" s="177"/>
      <c r="AD152" s="177">
        <f t="shared" si="203"/>
        <v>0.4595588235294118</v>
      </c>
      <c r="AE152" s="555">
        <f t="shared" si="261"/>
        <v>1523.2000000000005</v>
      </c>
      <c r="AF152" s="538">
        <f t="shared" si="262"/>
        <v>1.9301470588235291E-2</v>
      </c>
      <c r="AH152" s="177">
        <f t="shared" si="263"/>
        <v>0.6196773353931867</v>
      </c>
      <c r="AI152" s="177">
        <f t="shared" si="264"/>
        <v>0.6196773353931867</v>
      </c>
      <c r="AJ152" s="177">
        <f t="shared" si="265"/>
        <v>1.4367980262171753</v>
      </c>
      <c r="AL152" s="555">
        <f t="shared" si="266"/>
        <v>84</v>
      </c>
      <c r="AM152" s="469">
        <f t="shared" si="267"/>
        <v>350</v>
      </c>
      <c r="AO152" s="469">
        <f t="shared" si="211"/>
        <v>84</v>
      </c>
      <c r="AP152" s="469">
        <f t="shared" si="212"/>
        <v>350</v>
      </c>
      <c r="AR152" s="5">
        <f t="shared" si="249"/>
        <v>2.8571428571428572</v>
      </c>
      <c r="AS152" s="5">
        <f t="shared" si="246"/>
        <v>1.5491933384829668</v>
      </c>
      <c r="AT152" s="5">
        <f t="shared" si="247"/>
        <v>1.3079495186598904</v>
      </c>
      <c r="AU152" s="177">
        <f t="shared" si="248"/>
        <v>0.54221766846903841</v>
      </c>
      <c r="AW152" s="5">
        <f t="shared" si="216"/>
        <v>0.81332650270355755</v>
      </c>
      <c r="AX152" s="5"/>
      <c r="AY152" s="5">
        <f t="shared" si="217"/>
        <v>0.40666325135177878</v>
      </c>
      <c r="AZ152" s="5"/>
      <c r="BA152" s="5">
        <f t="shared" si="218"/>
        <v>0.10172940700688037</v>
      </c>
      <c r="BB152" s="5"/>
      <c r="BC152" s="5"/>
      <c r="BD152" s="177">
        <f t="shared" si="219"/>
        <v>0.26344612649275545</v>
      </c>
      <c r="BE152" s="177">
        <f t="shared" si="220"/>
        <v>0.19365311409583988</v>
      </c>
      <c r="BF152" s="177">
        <f t="shared" si="221"/>
        <v>9.6826557047919939E-2</v>
      </c>
      <c r="BG152" s="177"/>
      <c r="BH152" s="538">
        <f t="shared" si="222"/>
        <v>2.4291351547412916E-2</v>
      </c>
      <c r="BI152" s="538">
        <f t="shared" si="223"/>
        <v>3.4250805681852216E-2</v>
      </c>
      <c r="BJ152" s="538">
        <f t="shared" si="224"/>
        <v>4.3749999999999995E-3</v>
      </c>
      <c r="BK152" s="538">
        <f t="shared" si="225"/>
        <v>1.7457108480000001E-2</v>
      </c>
      <c r="BL152">
        <f t="shared" si="226"/>
        <v>3.48E-3</v>
      </c>
      <c r="BM152">
        <f t="shared" si="268"/>
        <v>6.1250000000000006E-6</v>
      </c>
      <c r="BN152">
        <f t="shared" si="269"/>
        <v>8.7532020181296577E-2</v>
      </c>
      <c r="BO152" s="469">
        <f t="shared" si="229"/>
        <v>83.854265709265135</v>
      </c>
      <c r="BP152" s="177">
        <f t="shared" si="230"/>
        <v>3.3600000000000005E-2</v>
      </c>
      <c r="BQ152" s="177">
        <f t="shared" si="231"/>
        <v>1.6800000000000002E-2</v>
      </c>
      <c r="BR152" s="538"/>
      <c r="BT152" s="469">
        <f t="shared" si="232"/>
        <v>50.400000000000006</v>
      </c>
      <c r="BU152" s="538">
        <f t="shared" si="233"/>
        <v>6.9403861564036919E-3</v>
      </c>
      <c r="BV152" s="538">
        <f t="shared" si="234"/>
        <v>1.1250458579704912E-3</v>
      </c>
      <c r="BW152" s="538">
        <f t="shared" si="235"/>
        <v>4.6876910748770473E-4</v>
      </c>
      <c r="BX152" s="538">
        <f t="shared" si="236"/>
        <v>0</v>
      </c>
      <c r="BY152" s="538">
        <f t="shared" si="180"/>
        <v>9.5648355148838411E-3</v>
      </c>
      <c r="BZ152" s="538">
        <f t="shared" si="250"/>
        <v>8.5342011218618886E-3</v>
      </c>
      <c r="CA152" s="641">
        <f t="shared" si="270"/>
        <v>6.7200000000000011E-3</v>
      </c>
      <c r="CB152" s="469">
        <f t="shared" si="238"/>
        <v>33.353237758607619</v>
      </c>
      <c r="CC152" s="177">
        <f t="shared" si="251"/>
        <v>0.15421685569618043</v>
      </c>
      <c r="CD152" s="5">
        <f t="shared" si="239"/>
        <v>2.016</v>
      </c>
      <c r="CE152" s="177">
        <f t="shared" si="240"/>
        <v>0.92893942589589307</v>
      </c>
      <c r="CF152" s="5">
        <f t="shared" si="241"/>
        <v>92.893942589589301</v>
      </c>
      <c r="CG152">
        <f t="shared" si="242"/>
        <v>42</v>
      </c>
      <c r="CI152" s="571">
        <f t="shared" si="271"/>
        <v>-50</v>
      </c>
      <c r="CJ152">
        <f t="shared" si="272"/>
        <v>-50</v>
      </c>
    </row>
    <row r="153" spans="5:88" x14ac:dyDescent="0.25">
      <c r="E153" s="174">
        <v>43</v>
      </c>
      <c r="F153" s="221">
        <f t="shared" si="273"/>
        <v>8.6000000000000007E-2</v>
      </c>
      <c r="G153" s="221">
        <f t="shared" si="252"/>
        <v>4.3000000000000003E-2</v>
      </c>
      <c r="H153" s="221">
        <f t="shared" si="253"/>
        <v>1.3760000000000001</v>
      </c>
      <c r="I153" s="221">
        <f t="shared" si="254"/>
        <v>0.68800000000000006</v>
      </c>
      <c r="J153" s="551">
        <f t="shared" si="186"/>
        <v>12</v>
      </c>
      <c r="K153" s="451">
        <f t="shared" si="187"/>
        <v>19.584</v>
      </c>
      <c r="L153" s="451">
        <f t="shared" si="188"/>
        <v>31.584</v>
      </c>
      <c r="M153" s="451"/>
      <c r="N153" s="221">
        <f t="shared" si="189"/>
        <v>0.62006079027355621</v>
      </c>
      <c r="O153" s="176">
        <f t="shared" si="255"/>
        <v>3.3483282674772035</v>
      </c>
      <c r="P153" s="176">
        <f t="shared" si="256"/>
        <v>1.6741641337386017</v>
      </c>
      <c r="Q153" s="221">
        <f t="shared" si="192"/>
        <v>0.20927051671732522</v>
      </c>
      <c r="R153" s="221">
        <f t="shared" si="257"/>
        <v>0.20927051671732522</v>
      </c>
      <c r="S153" s="221">
        <f t="shared" si="258"/>
        <v>16</v>
      </c>
      <c r="T153" s="221">
        <f t="shared" si="259"/>
        <v>0.61642701525054466</v>
      </c>
      <c r="U153" s="221">
        <f t="shared" si="196"/>
        <v>1.5410675381263617</v>
      </c>
      <c r="V153" s="221">
        <f t="shared" si="197"/>
        <v>0.94428157973429017</v>
      </c>
      <c r="W153" s="201">
        <f t="shared" si="198"/>
        <v>350</v>
      </c>
      <c r="X153" s="451">
        <f t="shared" si="199"/>
        <v>350</v>
      </c>
      <c r="Z153" s="221">
        <f t="shared" si="200"/>
        <v>0.70864090316977857</v>
      </c>
      <c r="AA153" s="177">
        <f t="shared" si="201"/>
        <v>1.0855405992184108</v>
      </c>
      <c r="AB153" s="177">
        <f t="shared" si="260"/>
        <v>0.1076961858920636</v>
      </c>
      <c r="AC153" s="177"/>
      <c r="AD153" s="177">
        <f t="shared" si="203"/>
        <v>0.4595588235294118</v>
      </c>
      <c r="AE153" s="555">
        <f t="shared" si="261"/>
        <v>1559.4666666666672</v>
      </c>
      <c r="AF153" s="538">
        <f t="shared" si="262"/>
        <v>1.9301470588235291E-2</v>
      </c>
      <c r="AH153" s="177">
        <f t="shared" si="263"/>
        <v>0.62701105025578063</v>
      </c>
      <c r="AI153" s="177">
        <f t="shared" si="264"/>
        <v>0.62701105025578063</v>
      </c>
      <c r="AJ153" s="177">
        <f t="shared" si="265"/>
        <v>1.4422304075968746</v>
      </c>
      <c r="AL153" s="555">
        <f t="shared" si="266"/>
        <v>86</v>
      </c>
      <c r="AM153" s="469">
        <f t="shared" si="267"/>
        <v>350</v>
      </c>
      <c r="AO153" s="469">
        <f t="shared" si="211"/>
        <v>86</v>
      </c>
      <c r="AP153" s="469">
        <f t="shared" si="212"/>
        <v>350</v>
      </c>
      <c r="AR153" s="5">
        <f t="shared" si="249"/>
        <v>2.8571428571428572</v>
      </c>
      <c r="AS153" s="5">
        <f t="shared" si="246"/>
        <v>1.5675276256394517</v>
      </c>
      <c r="AT153" s="5">
        <f t="shared" si="247"/>
        <v>1.2896152315034055</v>
      </c>
      <c r="AU153" s="177">
        <f t="shared" si="248"/>
        <v>0.54863466897380808</v>
      </c>
      <c r="AW153" s="5">
        <f t="shared" si="216"/>
        <v>0.84254609878120534</v>
      </c>
      <c r="AX153" s="5"/>
      <c r="AY153" s="5">
        <f t="shared" si="217"/>
        <v>0.42127304939060267</v>
      </c>
      <c r="AZ153" s="5"/>
      <c r="BA153" s="5">
        <f t="shared" si="218"/>
        <v>0.10269158324934526</v>
      </c>
      <c r="BB153" s="5"/>
      <c r="BC153" s="5"/>
      <c r="BD153" s="177">
        <f t="shared" si="219"/>
        <v>0.2681366575013498</v>
      </c>
      <c r="BE153" s="177">
        <f t="shared" si="220"/>
        <v>0.19456676296078584</v>
      </c>
      <c r="BF153" s="177">
        <f t="shared" si="221"/>
        <v>9.7283381480392922E-2</v>
      </c>
      <c r="BG153" s="177"/>
      <c r="BH153" s="538">
        <f t="shared" si="222"/>
        <v>2.5164043483598658E-2</v>
      </c>
      <c r="BI153" s="538">
        <f t="shared" si="223"/>
        <v>3.4656154769737511E-2</v>
      </c>
      <c r="BJ153" s="538">
        <f t="shared" si="224"/>
        <v>4.3749999999999995E-3</v>
      </c>
      <c r="BK153" s="538">
        <f t="shared" si="225"/>
        <v>1.7457108480000001E-2</v>
      </c>
      <c r="BL153">
        <f t="shared" si="226"/>
        <v>3.48E-3</v>
      </c>
      <c r="BM153">
        <f t="shared" si="268"/>
        <v>6.1250000000000006E-6</v>
      </c>
      <c r="BN153">
        <f t="shared" si="269"/>
        <v>8.8948544885587538E-2</v>
      </c>
      <c r="BO153" s="469">
        <f t="shared" si="229"/>
        <v>85.132306733336165</v>
      </c>
      <c r="BP153" s="177">
        <f t="shared" si="230"/>
        <v>3.4400000000000007E-2</v>
      </c>
      <c r="BQ153" s="177">
        <f t="shared" si="231"/>
        <v>1.7200000000000003E-2</v>
      </c>
      <c r="BR153" s="538"/>
      <c r="BT153" s="469">
        <f t="shared" si="232"/>
        <v>51.600000000000009</v>
      </c>
      <c r="BU153" s="538">
        <f t="shared" si="233"/>
        <v>7.1897267095996174E-3</v>
      </c>
      <c r="BV153" s="538">
        <f t="shared" si="234"/>
        <v>1.1356867574711586E-3</v>
      </c>
      <c r="BW153" s="538">
        <f t="shared" si="235"/>
        <v>4.7320281561298279E-4</v>
      </c>
      <c r="BX153" s="538">
        <f t="shared" si="236"/>
        <v>0</v>
      </c>
      <c r="BY153" s="538">
        <f t="shared" si="180"/>
        <v>9.861391564637053E-3</v>
      </c>
      <c r="BZ153" s="538">
        <f t="shared" si="250"/>
        <v>8.7986162826837588E-3</v>
      </c>
      <c r="CA153" s="641">
        <f t="shared" si="270"/>
        <v>6.879999999999999E-3</v>
      </c>
      <c r="CB153" s="469">
        <f t="shared" si="238"/>
        <v>34.338624130004568</v>
      </c>
      <c r="CC153" s="177">
        <f t="shared" si="251"/>
        <v>0.1572899364502246</v>
      </c>
      <c r="CD153" s="5">
        <f t="shared" si="239"/>
        <v>2.0640000000000001</v>
      </c>
      <c r="CE153" s="177">
        <f t="shared" si="240"/>
        <v>0.92918982170261633</v>
      </c>
      <c r="CF153" s="5">
        <f t="shared" si="241"/>
        <v>92.918982170261629</v>
      </c>
      <c r="CG153">
        <f t="shared" si="242"/>
        <v>43</v>
      </c>
      <c r="CI153" s="571">
        <f t="shared" si="271"/>
        <v>-50</v>
      </c>
      <c r="CJ153">
        <f t="shared" si="272"/>
        <v>-50</v>
      </c>
    </row>
    <row r="154" spans="5:88" x14ac:dyDescent="0.25">
      <c r="E154" s="174">
        <v>44</v>
      </c>
      <c r="F154" s="221">
        <f t="shared" si="273"/>
        <v>8.8000000000000009E-2</v>
      </c>
      <c r="G154" s="221">
        <f t="shared" si="252"/>
        <v>4.4000000000000004E-2</v>
      </c>
      <c r="H154" s="221">
        <f t="shared" si="253"/>
        <v>1.4080000000000001</v>
      </c>
      <c r="I154" s="221">
        <f t="shared" si="254"/>
        <v>0.70400000000000007</v>
      </c>
      <c r="J154" s="551">
        <f t="shared" si="186"/>
        <v>12</v>
      </c>
      <c r="K154" s="451">
        <f t="shared" si="187"/>
        <v>19.584</v>
      </c>
      <c r="L154" s="451">
        <f t="shared" si="188"/>
        <v>31.584</v>
      </c>
      <c r="M154" s="451"/>
      <c r="N154" s="221">
        <f t="shared" si="189"/>
        <v>0.62006079027355621</v>
      </c>
      <c r="O154" s="176">
        <f t="shared" si="255"/>
        <v>3.3483282674772035</v>
      </c>
      <c r="P154" s="176">
        <f t="shared" si="256"/>
        <v>1.6741641337386017</v>
      </c>
      <c r="Q154" s="221">
        <f t="shared" si="192"/>
        <v>0.20927051671732522</v>
      </c>
      <c r="R154" s="221">
        <f t="shared" si="257"/>
        <v>0.20927051671732522</v>
      </c>
      <c r="S154" s="221">
        <f t="shared" si="258"/>
        <v>16</v>
      </c>
      <c r="T154" s="221">
        <f t="shared" si="259"/>
        <v>0.63076252723311543</v>
      </c>
      <c r="U154" s="221">
        <f t="shared" si="196"/>
        <v>1.5769063180827885</v>
      </c>
      <c r="V154" s="221">
        <f t="shared" si="197"/>
        <v>0.96624161647229678</v>
      </c>
      <c r="W154" s="201">
        <f t="shared" si="198"/>
        <v>350</v>
      </c>
      <c r="X154" s="451">
        <f t="shared" si="199"/>
        <v>350</v>
      </c>
      <c r="Z154" s="221">
        <f t="shared" si="200"/>
        <v>0.70864090316977857</v>
      </c>
      <c r="AA154" s="177">
        <f t="shared" si="201"/>
        <v>1.0855405992184108</v>
      </c>
      <c r="AB154" s="177">
        <f t="shared" si="260"/>
        <v>0.1076961858920636</v>
      </c>
      <c r="AC154" s="177"/>
      <c r="AD154" s="177">
        <f t="shared" si="203"/>
        <v>0.4595588235294118</v>
      </c>
      <c r="AE154" s="555">
        <f t="shared" si="261"/>
        <v>1595.733333333334</v>
      </c>
      <c r="AF154" s="538">
        <f t="shared" si="262"/>
        <v>1.9301470588235291E-2</v>
      </c>
      <c r="AH154" s="177">
        <f t="shared" si="263"/>
        <v>0.63425997373767351</v>
      </c>
      <c r="AI154" s="177">
        <f t="shared" si="264"/>
        <v>0.63425997373767351</v>
      </c>
      <c r="AJ154" s="177">
        <f t="shared" si="265"/>
        <v>1.4475999805464248</v>
      </c>
      <c r="AL154" s="555">
        <f t="shared" si="266"/>
        <v>88.000000000000014</v>
      </c>
      <c r="AM154" s="469">
        <f t="shared" si="267"/>
        <v>350</v>
      </c>
      <c r="AO154" s="469">
        <f t="shared" si="211"/>
        <v>88.000000000000014</v>
      </c>
      <c r="AP154" s="469">
        <f t="shared" si="212"/>
        <v>350</v>
      </c>
      <c r="AR154" s="5">
        <f t="shared" si="249"/>
        <v>2.8571428571428572</v>
      </c>
      <c r="AS154" s="5">
        <f t="shared" si="246"/>
        <v>1.5856499343441839</v>
      </c>
      <c r="AT154" s="5">
        <f t="shared" si="247"/>
        <v>1.2714929227986733</v>
      </c>
      <c r="AU154" s="177">
        <f t="shared" si="248"/>
        <v>0.55497747702046429</v>
      </c>
      <c r="AW154" s="5">
        <f t="shared" si="216"/>
        <v>0.87210746388930127</v>
      </c>
      <c r="AX154" s="5"/>
      <c r="AY154" s="5">
        <f t="shared" si="217"/>
        <v>0.43605373194465064</v>
      </c>
      <c r="AZ154" s="5"/>
      <c r="BA154" s="5">
        <f t="shared" si="218"/>
        <v>0.10360312704285488</v>
      </c>
      <c r="BB154" s="5"/>
      <c r="BC154" s="5"/>
      <c r="BD154" s="177">
        <f t="shared" si="219"/>
        <v>0.27279999435218782</v>
      </c>
      <c r="BE154" s="177">
        <f t="shared" si="220"/>
        <v>0.19542839290409678</v>
      </c>
      <c r="BF154" s="177">
        <f t="shared" si="221"/>
        <v>9.7714196452048388E-2</v>
      </c>
      <c r="BG154" s="177"/>
      <c r="BH154" s="538">
        <f t="shared" si="222"/>
        <v>2.6046942921493798E-2</v>
      </c>
      <c r="BI154" s="538">
        <f t="shared" si="223"/>
        <v>3.5056817268428693E-2</v>
      </c>
      <c r="BJ154" s="538">
        <f t="shared" si="224"/>
        <v>4.3749999999999995E-3</v>
      </c>
      <c r="BK154" s="538">
        <f t="shared" si="225"/>
        <v>1.7457108480000001E-2</v>
      </c>
      <c r="BL154">
        <f t="shared" si="226"/>
        <v>3.48E-3</v>
      </c>
      <c r="BM154">
        <f t="shared" si="268"/>
        <v>6.1250000000000006E-6</v>
      </c>
      <c r="BN154">
        <f t="shared" si="269"/>
        <v>9.0372631190704558E-2</v>
      </c>
      <c r="BO154" s="469">
        <f t="shared" si="229"/>
        <v>86.415868669922489</v>
      </c>
      <c r="BP154" s="177">
        <f t="shared" si="230"/>
        <v>3.5200000000000002E-2</v>
      </c>
      <c r="BQ154" s="177">
        <f t="shared" si="231"/>
        <v>1.7600000000000001E-2</v>
      </c>
      <c r="BR154" s="538"/>
      <c r="BT154" s="469">
        <f t="shared" si="232"/>
        <v>52.8</v>
      </c>
      <c r="BU154" s="538">
        <f t="shared" si="233"/>
        <v>7.4419836918553708E-3</v>
      </c>
      <c r="BV154" s="538">
        <f t="shared" si="234"/>
        <v>1.1457677025923407E-3</v>
      </c>
      <c r="BW154" s="538">
        <f t="shared" si="235"/>
        <v>4.7740320941347533E-4</v>
      </c>
      <c r="BX154" s="538">
        <f t="shared" si="236"/>
        <v>0</v>
      </c>
      <c r="BY154" s="538">
        <f t="shared" si="180"/>
        <v>1.0160341561691313E-2</v>
      </c>
      <c r="BZ154" s="538">
        <f t="shared" si="250"/>
        <v>9.0651546038611874E-3</v>
      </c>
      <c r="CA154" s="641">
        <f t="shared" si="270"/>
        <v>7.0400000000000011E-3</v>
      </c>
      <c r="CB154" s="469">
        <f t="shared" si="238"/>
        <v>35.330650769413694</v>
      </c>
      <c r="CC154" s="177">
        <f t="shared" si="251"/>
        <v>0.16037297275239587</v>
      </c>
      <c r="CD154" s="5">
        <f t="shared" si="239"/>
        <v>2.1120000000000001</v>
      </c>
      <c r="CE154" s="177">
        <f t="shared" si="240"/>
        <v>0.92942488989466154</v>
      </c>
      <c r="CF154" s="5">
        <f t="shared" si="241"/>
        <v>92.942488989466156</v>
      </c>
      <c r="CG154">
        <f t="shared" si="242"/>
        <v>44</v>
      </c>
      <c r="CI154" s="571">
        <f t="shared" si="271"/>
        <v>-50</v>
      </c>
      <c r="CJ154">
        <f t="shared" si="272"/>
        <v>-50</v>
      </c>
    </row>
    <row r="155" spans="5:88" x14ac:dyDescent="0.25">
      <c r="E155" s="174">
        <v>45</v>
      </c>
      <c r="F155" s="221">
        <f t="shared" si="273"/>
        <v>9.0000000000000011E-2</v>
      </c>
      <c r="G155" s="221">
        <f t="shared" si="252"/>
        <v>4.5000000000000005E-2</v>
      </c>
      <c r="H155" s="221">
        <f t="shared" si="253"/>
        <v>1.4400000000000002</v>
      </c>
      <c r="I155" s="221">
        <f t="shared" si="254"/>
        <v>0.72000000000000008</v>
      </c>
      <c r="J155" s="551">
        <f t="shared" si="186"/>
        <v>12</v>
      </c>
      <c r="K155" s="451">
        <f t="shared" si="187"/>
        <v>19.584</v>
      </c>
      <c r="L155" s="451">
        <f t="shared" si="188"/>
        <v>31.584</v>
      </c>
      <c r="M155" s="451"/>
      <c r="N155" s="221">
        <f t="shared" si="189"/>
        <v>0.62006079027355621</v>
      </c>
      <c r="O155" s="176">
        <f t="shared" si="255"/>
        <v>3.3483282674772035</v>
      </c>
      <c r="P155" s="176">
        <f t="shared" si="256"/>
        <v>1.6741641337386017</v>
      </c>
      <c r="Q155" s="221">
        <f t="shared" si="192"/>
        <v>0.20927051671732522</v>
      </c>
      <c r="R155" s="221">
        <f t="shared" si="257"/>
        <v>0.20927051671732522</v>
      </c>
      <c r="S155" s="221">
        <f t="shared" si="258"/>
        <v>16</v>
      </c>
      <c r="T155" s="221">
        <f t="shared" si="259"/>
        <v>0.64509803921568631</v>
      </c>
      <c r="U155" s="221">
        <f t="shared" si="196"/>
        <v>1.612745098039216</v>
      </c>
      <c r="V155" s="221">
        <f t="shared" si="197"/>
        <v>0.98820165321030395</v>
      </c>
      <c r="W155" s="201">
        <f t="shared" si="198"/>
        <v>350</v>
      </c>
      <c r="X155" s="451">
        <f t="shared" si="199"/>
        <v>350</v>
      </c>
      <c r="Z155" s="221">
        <f t="shared" si="200"/>
        <v>0.70864090316977857</v>
      </c>
      <c r="AA155" s="177">
        <f t="shared" si="201"/>
        <v>1.0855405992184108</v>
      </c>
      <c r="AB155" s="177">
        <f t="shared" si="260"/>
        <v>0.1076961858920636</v>
      </c>
      <c r="AC155" s="177"/>
      <c r="AD155" s="177">
        <f t="shared" si="203"/>
        <v>0.4595588235294118</v>
      </c>
      <c r="AE155" s="555">
        <f t="shared" si="261"/>
        <v>1632.0000000000005</v>
      </c>
      <c r="AF155" s="538">
        <f t="shared" si="262"/>
        <v>1.9301470588235291E-2</v>
      </c>
      <c r="AH155" s="177">
        <f t="shared" si="263"/>
        <v>0.64142698058981851</v>
      </c>
      <c r="AI155" s="177">
        <f t="shared" si="264"/>
        <v>0.64142698058981851</v>
      </c>
      <c r="AJ155" s="177">
        <f t="shared" si="265"/>
        <v>1.4529088745109766</v>
      </c>
      <c r="AL155" s="555">
        <f t="shared" si="266"/>
        <v>90.000000000000014</v>
      </c>
      <c r="AM155" s="469">
        <f t="shared" si="267"/>
        <v>350</v>
      </c>
      <c r="AO155" s="469">
        <f t="shared" si="211"/>
        <v>90.000000000000014</v>
      </c>
      <c r="AP155" s="469">
        <f t="shared" si="212"/>
        <v>350</v>
      </c>
      <c r="AR155" s="5">
        <f t="shared" si="249"/>
        <v>2.8571428571428572</v>
      </c>
      <c r="AS155" s="5">
        <f t="shared" si="246"/>
        <v>1.6035674514745462</v>
      </c>
      <c r="AT155" s="5">
        <f t="shared" si="247"/>
        <v>1.253575405668311</v>
      </c>
      <c r="AU155" s="177">
        <f t="shared" si="248"/>
        <v>0.56124860801609111</v>
      </c>
      <c r="AW155" s="5">
        <f t="shared" si="216"/>
        <v>0.90200669145443224</v>
      </c>
      <c r="AX155" s="5"/>
      <c r="AY155" s="5">
        <f t="shared" si="217"/>
        <v>0.45100334572721612</v>
      </c>
      <c r="AZ155" s="5"/>
      <c r="BA155" s="5">
        <f t="shared" si="218"/>
        <v>0.10446461713902591</v>
      </c>
      <c r="BB155" s="5"/>
      <c r="BC155" s="5"/>
      <c r="BD155" s="177">
        <f t="shared" si="219"/>
        <v>0.27743690754976746</v>
      </c>
      <c r="BE155" s="177">
        <f t="shared" si="220"/>
        <v>0.19623923272916277</v>
      </c>
      <c r="BF155" s="177">
        <f t="shared" si="221"/>
        <v>9.8119616364581386E-2</v>
      </c>
      <c r="BG155" s="177"/>
      <c r="BH155" s="538">
        <f t="shared" si="222"/>
        <v>2.6939933184772377E-2</v>
      </c>
      <c r="BI155" s="538">
        <f t="shared" si="223"/>
        <v>3.5452952071160448E-2</v>
      </c>
      <c r="BJ155" s="538">
        <f t="shared" si="224"/>
        <v>4.3749999999999995E-3</v>
      </c>
      <c r="BK155" s="538">
        <f t="shared" si="225"/>
        <v>1.7457108480000001E-2</v>
      </c>
      <c r="BL155">
        <f t="shared" si="226"/>
        <v>3.48E-3</v>
      </c>
      <c r="BM155">
        <f t="shared" si="268"/>
        <v>6.1250000000000006E-6</v>
      </c>
      <c r="BN155">
        <f t="shared" si="269"/>
        <v>9.180431550809863E-2</v>
      </c>
      <c r="BO155" s="469">
        <f t="shared" si="229"/>
        <v>87.704993735932817</v>
      </c>
      <c r="BP155" s="177">
        <f t="shared" si="230"/>
        <v>3.6000000000000004E-2</v>
      </c>
      <c r="BQ155" s="177">
        <f t="shared" si="231"/>
        <v>1.8000000000000002E-2</v>
      </c>
      <c r="BR155" s="538"/>
      <c r="BT155" s="469">
        <f t="shared" si="232"/>
        <v>54.000000000000007</v>
      </c>
      <c r="BU155" s="538">
        <f t="shared" si="233"/>
        <v>7.6971237670778224E-3</v>
      </c>
      <c r="BV155" s="538">
        <f t="shared" si="234"/>
        <v>1.1552950938639151E-3</v>
      </c>
      <c r="BW155" s="538">
        <f t="shared" si="235"/>
        <v>4.8137295577663133E-4</v>
      </c>
      <c r="BX155" s="538">
        <f t="shared" si="236"/>
        <v>0</v>
      </c>
      <c r="BY155" s="538">
        <f t="shared" si="180"/>
        <v>1.0461658590191648E-2</v>
      </c>
      <c r="BZ155" s="538">
        <f t="shared" si="250"/>
        <v>9.3337918167183676E-3</v>
      </c>
      <c r="CA155" s="641">
        <f t="shared" si="270"/>
        <v>7.2000000000000007E-3</v>
      </c>
      <c r="CB155" s="469">
        <f t="shared" si="238"/>
        <v>36.329242223628384</v>
      </c>
      <c r="CC155" s="177">
        <f t="shared" si="251"/>
        <v>0.16346597409829031</v>
      </c>
      <c r="CD155" s="5">
        <f t="shared" si="239"/>
        <v>2.16</v>
      </c>
      <c r="CE155" s="177">
        <f t="shared" si="240"/>
        <v>0.92964563461630656</v>
      </c>
      <c r="CF155" s="5">
        <f t="shared" si="241"/>
        <v>92.964563461630661</v>
      </c>
      <c r="CG155">
        <f t="shared" si="242"/>
        <v>45</v>
      </c>
      <c r="CI155" s="571">
        <f t="shared" si="271"/>
        <v>-50</v>
      </c>
      <c r="CJ155">
        <f t="shared" si="272"/>
        <v>-50</v>
      </c>
    </row>
    <row r="156" spans="5:88" s="77" customFormat="1" x14ac:dyDescent="0.25">
      <c r="E156" s="193">
        <v>46</v>
      </c>
      <c r="F156" s="333">
        <f t="shared" si="273"/>
        <v>9.2000000000000012E-2</v>
      </c>
      <c r="G156" s="221">
        <f t="shared" si="252"/>
        <v>4.6000000000000006E-2</v>
      </c>
      <c r="H156" s="333">
        <f t="shared" si="253"/>
        <v>1.4720000000000002</v>
      </c>
      <c r="I156" s="221">
        <f t="shared" si="254"/>
        <v>0.7360000000000001</v>
      </c>
      <c r="J156" s="551">
        <f t="shared" si="186"/>
        <v>12</v>
      </c>
      <c r="K156" s="545">
        <f t="shared" si="187"/>
        <v>19.584</v>
      </c>
      <c r="L156" s="545">
        <f t="shared" si="188"/>
        <v>31.584</v>
      </c>
      <c r="M156" s="545"/>
      <c r="N156" s="333">
        <f t="shared" si="189"/>
        <v>0.62006079027355621</v>
      </c>
      <c r="O156" s="176">
        <f t="shared" si="255"/>
        <v>3.3483282674772035</v>
      </c>
      <c r="P156" s="176">
        <f t="shared" si="256"/>
        <v>1.6741641337386017</v>
      </c>
      <c r="Q156" s="333">
        <f t="shared" si="192"/>
        <v>0.20927051671732522</v>
      </c>
      <c r="R156" s="221">
        <f t="shared" si="257"/>
        <v>0.20927051671732522</v>
      </c>
      <c r="S156" s="333">
        <f t="shared" si="258"/>
        <v>16</v>
      </c>
      <c r="T156" s="221">
        <f t="shared" si="259"/>
        <v>0.65943355119825708</v>
      </c>
      <c r="U156" s="333">
        <f t="shared" si="196"/>
        <v>1.6485838779956428</v>
      </c>
      <c r="V156" s="333">
        <f t="shared" si="197"/>
        <v>1.0101616899483106</v>
      </c>
      <c r="W156" s="547">
        <f t="shared" si="198"/>
        <v>350</v>
      </c>
      <c r="X156" s="545">
        <f t="shared" si="199"/>
        <v>350</v>
      </c>
      <c r="Z156" s="333">
        <f t="shared" si="200"/>
        <v>0.70864090316977857</v>
      </c>
      <c r="AA156" s="548">
        <f t="shared" si="201"/>
        <v>1.0855405992184108</v>
      </c>
      <c r="AB156" s="177">
        <f t="shared" si="260"/>
        <v>0.1076961858920636</v>
      </c>
      <c r="AC156" s="548"/>
      <c r="AD156" s="548">
        <f t="shared" si="203"/>
        <v>0.4595588235294118</v>
      </c>
      <c r="AE156" s="555">
        <f t="shared" si="261"/>
        <v>1668.2666666666671</v>
      </c>
      <c r="AF156" s="538">
        <f t="shared" si="262"/>
        <v>1.9301470588235291E-2</v>
      </c>
      <c r="AH156" s="177">
        <f t="shared" si="263"/>
        <v>0.64851478670222207</v>
      </c>
      <c r="AI156" s="548">
        <f t="shared" si="264"/>
        <v>0.64851478670222207</v>
      </c>
      <c r="AJ156" s="548">
        <f t="shared" si="265"/>
        <v>1.4581591012609052</v>
      </c>
      <c r="AL156" s="573">
        <f t="shared" si="266"/>
        <v>92.000000000000014</v>
      </c>
      <c r="AM156" s="574">
        <f t="shared" si="267"/>
        <v>350</v>
      </c>
      <c r="AO156" s="77">
        <f t="shared" si="211"/>
        <v>92.000000000000014</v>
      </c>
      <c r="AP156" s="77">
        <f t="shared" si="212"/>
        <v>350</v>
      </c>
      <c r="AR156" s="544">
        <f t="shared" si="249"/>
        <v>2.8571428571428572</v>
      </c>
      <c r="AS156" s="5">
        <f t="shared" si="246"/>
        <v>1.6212869667555554</v>
      </c>
      <c r="AT156" s="5">
        <f t="shared" si="247"/>
        <v>1.2358558903873018</v>
      </c>
      <c r="AU156" s="177">
        <f t="shared" si="248"/>
        <v>0.56745043836444442</v>
      </c>
      <c r="AW156" s="5">
        <f t="shared" si="216"/>
        <v>0.93224000588444444</v>
      </c>
      <c r="AX156" s="5"/>
      <c r="AY156" s="5">
        <f t="shared" si="217"/>
        <v>0.46612000294222222</v>
      </c>
      <c r="AZ156" s="5"/>
      <c r="BA156" s="5">
        <f t="shared" si="218"/>
        <v>0.10527661288484422</v>
      </c>
      <c r="BB156" s="5"/>
      <c r="BC156" s="5"/>
      <c r="BD156" s="177">
        <f t="shared" si="219"/>
        <v>0.28204812917090216</v>
      </c>
      <c r="BE156" s="177">
        <f t="shared" si="220"/>
        <v>0.19700043292812575</v>
      </c>
      <c r="BF156" s="177">
        <f t="shared" si="221"/>
        <v>9.8500216464062873E-2</v>
      </c>
      <c r="BG156" s="177"/>
      <c r="BH156" s="538">
        <f t="shared" si="222"/>
        <v>2.7842901509082068E-2</v>
      </c>
      <c r="BI156" s="538">
        <f t="shared" si="223"/>
        <v>3.5844709290605223E-2</v>
      </c>
      <c r="BJ156" s="538">
        <f t="shared" si="224"/>
        <v>4.3749999999999995E-3</v>
      </c>
      <c r="BK156" s="538">
        <f t="shared" si="225"/>
        <v>1.7457108480000001E-2</v>
      </c>
      <c r="BL156">
        <f t="shared" si="226"/>
        <v>3.48E-3</v>
      </c>
      <c r="BM156">
        <f t="shared" si="268"/>
        <v>6.1250000000000006E-6</v>
      </c>
      <c r="BN156">
        <f t="shared" si="269"/>
        <v>9.3243629939691597E-2</v>
      </c>
      <c r="BO156" s="469">
        <f t="shared" si="229"/>
        <v>88.999719279687298</v>
      </c>
      <c r="BP156" s="177">
        <f t="shared" si="230"/>
        <v>3.6800000000000006E-2</v>
      </c>
      <c r="BQ156" s="177">
        <f t="shared" si="231"/>
        <v>1.8400000000000003E-2</v>
      </c>
      <c r="BR156" s="538"/>
      <c r="BS156"/>
      <c r="BT156" s="469">
        <f t="shared" si="232"/>
        <v>55.20000000000001</v>
      </c>
      <c r="BU156" s="538">
        <f t="shared" si="233"/>
        <v>7.9551147168805923E-3</v>
      </c>
      <c r="BV156" s="538">
        <f t="shared" si="234"/>
        <v>1.1642751172160691E-3</v>
      </c>
      <c r="BW156" s="538">
        <f t="shared" si="235"/>
        <v>4.8511463217336214E-4</v>
      </c>
      <c r="BX156" s="538">
        <f t="shared" si="236"/>
        <v>0</v>
      </c>
      <c r="BY156" s="538">
        <f t="shared" si="180"/>
        <v>1.0765316644766067E-2</v>
      </c>
      <c r="BZ156" s="538">
        <f t="shared" si="250"/>
        <v>9.6045044662700241E-3</v>
      </c>
      <c r="CA156" s="641">
        <f t="shared" si="270"/>
        <v>7.360000000000002E-3</v>
      </c>
      <c r="CB156" s="469">
        <f t="shared" si="238"/>
        <v>37.334325577306124</v>
      </c>
      <c r="CC156" s="177">
        <f t="shared" si="251"/>
        <v>0.16656894658445767</v>
      </c>
      <c r="CD156" s="5">
        <f t="shared" si="239"/>
        <v>2.2080000000000002</v>
      </c>
      <c r="CE156" s="177">
        <f t="shared" si="240"/>
        <v>0.92985297528460997</v>
      </c>
      <c r="CF156" s="5">
        <f t="shared" si="241"/>
        <v>92.985297528461004</v>
      </c>
      <c r="CG156">
        <f t="shared" si="242"/>
        <v>46</v>
      </c>
      <c r="CI156" s="571">
        <f t="shared" si="271"/>
        <v>-50</v>
      </c>
      <c r="CJ156">
        <f t="shared" si="272"/>
        <v>-50</v>
      </c>
    </row>
    <row r="157" spans="5:88" x14ac:dyDescent="0.25">
      <c r="E157" s="174">
        <v>47</v>
      </c>
      <c r="F157" s="221">
        <f t="shared" si="273"/>
        <v>9.4E-2</v>
      </c>
      <c r="G157" s="221">
        <f t="shared" si="252"/>
        <v>4.7E-2</v>
      </c>
      <c r="H157" s="221">
        <f t="shared" si="253"/>
        <v>1.504</v>
      </c>
      <c r="I157" s="221">
        <f t="shared" si="254"/>
        <v>0.752</v>
      </c>
      <c r="J157" s="551">
        <f t="shared" si="186"/>
        <v>12</v>
      </c>
      <c r="K157" s="451">
        <f t="shared" si="187"/>
        <v>19.584</v>
      </c>
      <c r="L157" s="451">
        <f t="shared" si="188"/>
        <v>31.584</v>
      </c>
      <c r="M157" s="451"/>
      <c r="N157" s="221">
        <f t="shared" si="189"/>
        <v>0.62006079027355621</v>
      </c>
      <c r="O157" s="176">
        <f t="shared" si="255"/>
        <v>3.3483282674772035</v>
      </c>
      <c r="P157" s="176">
        <f t="shared" si="256"/>
        <v>1.6741641337386017</v>
      </c>
      <c r="Q157" s="221">
        <f t="shared" si="192"/>
        <v>0.20927051671732522</v>
      </c>
      <c r="R157" s="221">
        <f t="shared" si="257"/>
        <v>0.20927051671732522</v>
      </c>
      <c r="S157" s="221">
        <f t="shared" si="258"/>
        <v>16</v>
      </c>
      <c r="T157" s="221">
        <f t="shared" si="259"/>
        <v>0.67376906318082785</v>
      </c>
      <c r="U157" s="221">
        <f t="shared" si="196"/>
        <v>1.6844226579520698</v>
      </c>
      <c r="V157" s="221">
        <f t="shared" si="197"/>
        <v>1.0321217266863172</v>
      </c>
      <c r="W157" s="201">
        <f t="shared" si="198"/>
        <v>350</v>
      </c>
      <c r="X157" s="451">
        <f t="shared" si="199"/>
        <v>350</v>
      </c>
      <c r="Z157" s="221">
        <f t="shared" si="200"/>
        <v>0.70864090316977857</v>
      </c>
      <c r="AA157" s="177">
        <f t="shared" si="201"/>
        <v>1.0855405992184108</v>
      </c>
      <c r="AB157" s="177">
        <f t="shared" si="260"/>
        <v>0.1076961858920636</v>
      </c>
      <c r="AC157" s="177"/>
      <c r="AD157" s="177">
        <f t="shared" si="203"/>
        <v>0.4595588235294118</v>
      </c>
      <c r="AE157" s="555">
        <f t="shared" si="261"/>
        <v>1704.533333333334</v>
      </c>
      <c r="AF157" s="538">
        <f t="shared" si="262"/>
        <v>1.9301470588235291E-2</v>
      </c>
      <c r="AH157" s="177">
        <f t="shared" si="263"/>
        <v>0.6555259611291423</v>
      </c>
      <c r="AI157" s="177">
        <f t="shared" si="264"/>
        <v>0.6555259611291423</v>
      </c>
      <c r="AJ157" s="177">
        <f t="shared" si="265"/>
        <v>1.4633525637993645</v>
      </c>
      <c r="AL157" s="555">
        <f t="shared" si="266"/>
        <v>94</v>
      </c>
      <c r="AM157" s="469">
        <f t="shared" si="267"/>
        <v>350</v>
      </c>
      <c r="AO157">
        <f t="shared" si="211"/>
        <v>94</v>
      </c>
      <c r="AP157">
        <f t="shared" si="212"/>
        <v>350</v>
      </c>
      <c r="AR157" s="5">
        <f t="shared" si="249"/>
        <v>2.8571428571428572</v>
      </c>
      <c r="AS157" s="5">
        <f t="shared" si="246"/>
        <v>1.6388149028228558</v>
      </c>
      <c r="AT157" s="5">
        <f t="shared" si="247"/>
        <v>1.2183279543200014</v>
      </c>
      <c r="AU157" s="177">
        <f t="shared" si="248"/>
        <v>0.5735852159879995</v>
      </c>
      <c r="AW157" s="5">
        <f t="shared" si="216"/>
        <v>0.96280375540842777</v>
      </c>
      <c r="AX157" s="5"/>
      <c r="AY157" s="5">
        <f t="shared" si="217"/>
        <v>0.48140187770421389</v>
      </c>
      <c r="AZ157" s="5"/>
      <c r="BA157" s="5">
        <f t="shared" si="218"/>
        <v>0.10603965528340753</v>
      </c>
      <c r="BB157" s="5"/>
      <c r="BC157" s="5"/>
      <c r="BD157" s="177">
        <f t="shared" si="219"/>
        <v>0.28663435557318057</v>
      </c>
      <c r="BE157" s="177">
        <f t="shared" si="220"/>
        <v>0.19771307120085749</v>
      </c>
      <c r="BF157" s="177">
        <f t="shared" si="221"/>
        <v>9.8856535600428744E-2</v>
      </c>
      <c r="BG157" s="177"/>
      <c r="BH157" s="538">
        <f t="shared" si="222"/>
        <v>2.8755738828198374E-2</v>
      </c>
      <c r="BI157" s="538">
        <f t="shared" si="223"/>
        <v>3.6232230923529958E-2</v>
      </c>
      <c r="BJ157" s="538">
        <f t="shared" si="224"/>
        <v>4.3749999999999995E-3</v>
      </c>
      <c r="BK157" s="538">
        <f t="shared" si="225"/>
        <v>1.7457108480000001E-2</v>
      </c>
      <c r="BL157">
        <f t="shared" si="226"/>
        <v>3.48E-3</v>
      </c>
      <c r="BM157">
        <f t="shared" si="268"/>
        <v>6.1250000000000006E-6</v>
      </c>
      <c r="BN157">
        <f t="shared" si="269"/>
        <v>9.4690602698943416E-2</v>
      </c>
      <c r="BO157" s="469">
        <f t="shared" si="229"/>
        <v>90.300078231728321</v>
      </c>
      <c r="BP157" s="177">
        <f t="shared" si="230"/>
        <v>3.7600000000000001E-2</v>
      </c>
      <c r="BQ157" s="177">
        <f t="shared" si="231"/>
        <v>1.8800000000000001E-2</v>
      </c>
      <c r="BR157" s="538"/>
      <c r="BT157" s="469">
        <f t="shared" si="232"/>
        <v>56.400000000000006</v>
      </c>
      <c r="BU157" s="538">
        <f t="shared" si="233"/>
        <v>8.2159253794852512E-3</v>
      </c>
      <c r="BV157" s="538">
        <f t="shared" si="234"/>
        <v>1.1727137557102601E-3</v>
      </c>
      <c r="BW157" s="538">
        <f t="shared" si="235"/>
        <v>4.8863073154594176E-4</v>
      </c>
      <c r="BX157" s="538">
        <f t="shared" si="236"/>
        <v>0</v>
      </c>
      <c r="BY157" s="538">
        <f t="shared" si="180"/>
        <v>1.1071290580737553E-2</v>
      </c>
      <c r="BZ157" s="538">
        <f t="shared" si="250"/>
        <v>9.8772698667414539E-3</v>
      </c>
      <c r="CA157" s="641">
        <f t="shared" si="270"/>
        <v>7.5200000000000015E-3</v>
      </c>
      <c r="CB157" s="469">
        <f t="shared" si="238"/>
        <v>38.345830314220457</v>
      </c>
      <c r="CC157" s="177">
        <f t="shared" si="251"/>
        <v>0.16968189327968097</v>
      </c>
      <c r="CD157" s="5">
        <f t="shared" si="239"/>
        <v>2.2560000000000002</v>
      </c>
      <c r="CE157" s="177">
        <f t="shared" si="240"/>
        <v>0.93004775533437323</v>
      </c>
      <c r="CF157" s="5">
        <f t="shared" si="241"/>
        <v>93.004775533437325</v>
      </c>
      <c r="CG157">
        <f t="shared" si="242"/>
        <v>47</v>
      </c>
      <c r="CI157" s="571">
        <f t="shared" si="271"/>
        <v>-50</v>
      </c>
      <c r="CJ157">
        <f t="shared" si="272"/>
        <v>-50</v>
      </c>
    </row>
    <row r="158" spans="5:88" x14ac:dyDescent="0.25">
      <c r="E158" s="174">
        <v>48</v>
      </c>
      <c r="F158" s="221">
        <f t="shared" si="273"/>
        <v>9.6000000000000002E-2</v>
      </c>
      <c r="G158" s="221">
        <f t="shared" si="252"/>
        <v>4.8000000000000001E-2</v>
      </c>
      <c r="H158" s="221">
        <f t="shared" si="253"/>
        <v>1.536</v>
      </c>
      <c r="I158" s="221">
        <f t="shared" si="254"/>
        <v>0.76800000000000002</v>
      </c>
      <c r="J158" s="551">
        <f t="shared" si="186"/>
        <v>12</v>
      </c>
      <c r="K158" s="451">
        <f t="shared" si="187"/>
        <v>19.584</v>
      </c>
      <c r="L158" s="451">
        <f t="shared" si="188"/>
        <v>31.584</v>
      </c>
      <c r="M158" s="451"/>
      <c r="N158" s="221">
        <f t="shared" si="189"/>
        <v>0.62006079027355621</v>
      </c>
      <c r="O158" s="176">
        <f t="shared" si="255"/>
        <v>3.3483282674772035</v>
      </c>
      <c r="P158" s="176">
        <f t="shared" si="256"/>
        <v>1.6741641337386017</v>
      </c>
      <c r="Q158" s="221">
        <f t="shared" si="192"/>
        <v>0.20927051671732522</v>
      </c>
      <c r="R158" s="221">
        <f t="shared" si="257"/>
        <v>0.20927051671732522</v>
      </c>
      <c r="S158" s="221">
        <f t="shared" si="258"/>
        <v>16</v>
      </c>
      <c r="T158" s="221">
        <f t="shared" si="259"/>
        <v>0.68810457516339874</v>
      </c>
      <c r="U158" s="221">
        <f t="shared" si="196"/>
        <v>1.7202614379084968</v>
      </c>
      <c r="V158" s="221">
        <f t="shared" si="197"/>
        <v>1.054081763424324</v>
      </c>
      <c r="W158" s="201">
        <f t="shared" si="198"/>
        <v>350</v>
      </c>
      <c r="X158" s="451">
        <f t="shared" si="199"/>
        <v>350</v>
      </c>
      <c r="Z158" s="221">
        <f t="shared" si="200"/>
        <v>0.70864090316977857</v>
      </c>
      <c r="AA158" s="177">
        <f t="shared" si="201"/>
        <v>1.0855405992184108</v>
      </c>
      <c r="AB158" s="177">
        <f t="shared" si="260"/>
        <v>0.1076961858920636</v>
      </c>
      <c r="AC158" s="177"/>
      <c r="AD158" s="177">
        <f t="shared" si="203"/>
        <v>0.4595588235294118</v>
      </c>
      <c r="AE158" s="555">
        <f t="shared" si="261"/>
        <v>1740.8000000000006</v>
      </c>
      <c r="AF158" s="538">
        <f t="shared" si="262"/>
        <v>1.9301470588235291E-2</v>
      </c>
      <c r="AH158" s="177">
        <f t="shared" si="263"/>
        <v>0.6624629369686601</v>
      </c>
      <c r="AI158" s="177">
        <f t="shared" si="264"/>
        <v>0.6624629369686601</v>
      </c>
      <c r="AJ158" s="177">
        <f t="shared" si="265"/>
        <v>1.4684910644212297</v>
      </c>
      <c r="AL158" s="555">
        <f t="shared" si="266"/>
        <v>96</v>
      </c>
      <c r="AM158" s="469">
        <f t="shared" si="267"/>
        <v>350</v>
      </c>
      <c r="AO158">
        <f t="shared" si="211"/>
        <v>96</v>
      </c>
      <c r="AP158">
        <f t="shared" si="212"/>
        <v>350</v>
      </c>
      <c r="AR158" s="5">
        <f t="shared" si="249"/>
        <v>2.8571428571428572</v>
      </c>
      <c r="AS158" s="5">
        <f t="shared" si="246"/>
        <v>1.6561573424216505</v>
      </c>
      <c r="AT158" s="5">
        <f t="shared" si="247"/>
        <v>1.2009855147212067</v>
      </c>
      <c r="AU158" s="177">
        <f t="shared" si="248"/>
        <v>0.57965506984757764</v>
      </c>
      <c r="AW158" s="5">
        <f t="shared" si="216"/>
        <v>0.99369440545299026</v>
      </c>
      <c r="AX158" s="5"/>
      <c r="AY158" s="5">
        <f t="shared" si="217"/>
        <v>0.49684720272649513</v>
      </c>
      <c r="AZ158" s="5"/>
      <c r="BA158" s="5">
        <f t="shared" si="218"/>
        <v>0.10675426797521838</v>
      </c>
      <c r="BB158" s="5"/>
      <c r="BC158" s="5"/>
      <c r="BD158" s="177">
        <f t="shared" si="219"/>
        <v>0.29119624985907444</v>
      </c>
      <c r="BE158" s="177">
        <f t="shared" si="220"/>
        <v>0.19837815743267831</v>
      </c>
      <c r="BF158" s="177">
        <f t="shared" si="221"/>
        <v>9.9189078716339155E-2</v>
      </c>
      <c r="BG158" s="177"/>
      <c r="BH158" s="538">
        <f t="shared" si="222"/>
        <v>2.9678339576195978E-2</v>
      </c>
      <c r="BI158" s="538">
        <f t="shared" si="223"/>
        <v>3.6615651452131782E-2</v>
      </c>
      <c r="BJ158" s="538">
        <f t="shared" si="224"/>
        <v>4.3749999999999995E-3</v>
      </c>
      <c r="BK158" s="538">
        <f t="shared" si="225"/>
        <v>1.7457108480000001E-2</v>
      </c>
      <c r="BL158">
        <f t="shared" si="226"/>
        <v>3.48E-3</v>
      </c>
      <c r="BM158">
        <f t="shared" si="268"/>
        <v>6.1250000000000006E-6</v>
      </c>
      <c r="BN158">
        <f t="shared" si="269"/>
        <v>9.6145258486851778E-2</v>
      </c>
      <c r="BO158" s="469">
        <f t="shared" si="229"/>
        <v>91.606099508327745</v>
      </c>
      <c r="BP158" s="177">
        <f t="shared" si="230"/>
        <v>3.8400000000000004E-2</v>
      </c>
      <c r="BQ158" s="177">
        <f t="shared" si="231"/>
        <v>1.9200000000000002E-2</v>
      </c>
      <c r="BR158" s="538"/>
      <c r="BT158" s="469">
        <f t="shared" si="232"/>
        <v>57.600000000000009</v>
      </c>
      <c r="BU158" s="538">
        <f t="shared" si="233"/>
        <v>8.4795255931988511E-3</v>
      </c>
      <c r="BV158" s="538">
        <f t="shared" si="234"/>
        <v>1.180616800391535E-3</v>
      </c>
      <c r="BW158" s="538">
        <f t="shared" si="235"/>
        <v>4.9192366682980623E-4</v>
      </c>
      <c r="BX158" s="538">
        <f t="shared" si="236"/>
        <v>0</v>
      </c>
      <c r="BY158" s="538">
        <f t="shared" si="180"/>
        <v>1.1379556068065918E-2</v>
      </c>
      <c r="BZ158" s="538">
        <f t="shared" si="250"/>
        <v>1.0152066060420193E-2</v>
      </c>
      <c r="CA158" s="641">
        <f t="shared" si="270"/>
        <v>7.6800000000000028E-3</v>
      </c>
      <c r="CB158" s="469">
        <f t="shared" si="238"/>
        <v>39.363688188906302</v>
      </c>
      <c r="CC158" s="177">
        <f t="shared" si="251"/>
        <v>0.1728048145549177</v>
      </c>
      <c r="CD158" s="5">
        <f t="shared" si="239"/>
        <v>2.3040000000000003</v>
      </c>
      <c r="CE158" s="177">
        <f t="shared" si="240"/>
        <v>0.93023074990026178</v>
      </c>
      <c r="CF158" s="5">
        <f t="shared" si="241"/>
        <v>93.023074990026174</v>
      </c>
      <c r="CG158">
        <f t="shared" si="242"/>
        <v>48</v>
      </c>
      <c r="CI158" s="571">
        <f t="shared" si="271"/>
        <v>-50</v>
      </c>
      <c r="CJ158">
        <f t="shared" si="272"/>
        <v>-50</v>
      </c>
    </row>
    <row r="159" spans="5:88" x14ac:dyDescent="0.25">
      <c r="E159" s="174">
        <v>49</v>
      </c>
      <c r="F159" s="221">
        <f t="shared" si="273"/>
        <v>9.8000000000000004E-2</v>
      </c>
      <c r="G159" s="221">
        <f t="shared" si="252"/>
        <v>4.9000000000000002E-2</v>
      </c>
      <c r="H159" s="221">
        <f t="shared" si="253"/>
        <v>1.5680000000000001</v>
      </c>
      <c r="I159" s="221">
        <f t="shared" si="254"/>
        <v>0.78400000000000003</v>
      </c>
      <c r="J159" s="551">
        <f t="shared" si="186"/>
        <v>12</v>
      </c>
      <c r="K159" s="451">
        <f t="shared" si="187"/>
        <v>19.584</v>
      </c>
      <c r="L159" s="451">
        <f t="shared" si="188"/>
        <v>31.584</v>
      </c>
      <c r="M159" s="451"/>
      <c r="N159" s="221">
        <f t="shared" si="189"/>
        <v>0.62006079027355621</v>
      </c>
      <c r="O159" s="176">
        <f t="shared" si="255"/>
        <v>3.3483282674772035</v>
      </c>
      <c r="P159" s="176">
        <f t="shared" si="256"/>
        <v>1.6741641337386017</v>
      </c>
      <c r="Q159" s="221">
        <f t="shared" si="192"/>
        <v>0.20927051671732522</v>
      </c>
      <c r="R159" s="221">
        <f t="shared" si="257"/>
        <v>0.20927051671732522</v>
      </c>
      <c r="S159" s="221">
        <f t="shared" si="258"/>
        <v>16</v>
      </c>
      <c r="T159" s="221">
        <f t="shared" si="259"/>
        <v>0.70244008714596951</v>
      </c>
      <c r="U159" s="221">
        <f t="shared" si="196"/>
        <v>1.7561002178649237</v>
      </c>
      <c r="V159" s="221">
        <f t="shared" si="197"/>
        <v>1.0760418001623306</v>
      </c>
      <c r="W159" s="201">
        <f t="shared" si="198"/>
        <v>350</v>
      </c>
      <c r="X159" s="451">
        <f t="shared" si="199"/>
        <v>350</v>
      </c>
      <c r="Z159" s="221">
        <f t="shared" si="200"/>
        <v>0.70864090316977857</v>
      </c>
      <c r="AA159" s="177">
        <f t="shared" si="201"/>
        <v>1.0855405992184108</v>
      </c>
      <c r="AB159" s="177">
        <f t="shared" si="260"/>
        <v>0.1076961858920636</v>
      </c>
      <c r="AC159" s="177"/>
      <c r="AD159" s="177">
        <f t="shared" si="203"/>
        <v>0.4595588235294118</v>
      </c>
      <c r="AE159" s="555">
        <f t="shared" si="261"/>
        <v>1777.0666666666671</v>
      </c>
      <c r="AF159" s="538">
        <f t="shared" si="262"/>
        <v>1.9301470588235291E-2</v>
      </c>
      <c r="AH159" s="177">
        <f t="shared" si="263"/>
        <v>0.66932802122726054</v>
      </c>
      <c r="AI159" s="177">
        <f t="shared" si="264"/>
        <v>0.66932802122726054</v>
      </c>
      <c r="AJ159" s="177">
        <f t="shared" si="265"/>
        <v>1.473576312020193</v>
      </c>
      <c r="AL159" s="555">
        <f t="shared" si="266"/>
        <v>98</v>
      </c>
      <c r="AM159" s="469">
        <f t="shared" si="267"/>
        <v>350</v>
      </c>
      <c r="AO159">
        <f t="shared" si="211"/>
        <v>98</v>
      </c>
      <c r="AP159">
        <f t="shared" si="212"/>
        <v>350</v>
      </c>
      <c r="AR159" s="5">
        <f t="shared" si="249"/>
        <v>2.8571428571428572</v>
      </c>
      <c r="AS159" s="5">
        <f t="shared" si="246"/>
        <v>1.6733200530681516</v>
      </c>
      <c r="AT159" s="5">
        <f t="shared" si="247"/>
        <v>1.1838228040747056</v>
      </c>
      <c r="AU159" s="177">
        <f t="shared" si="248"/>
        <v>0.58566201857385303</v>
      </c>
      <c r="AW159" s="5">
        <f t="shared" si="216"/>
        <v>1.0249085325042429</v>
      </c>
      <c r="AX159" s="5"/>
      <c r="AY159" s="5">
        <f t="shared" si="217"/>
        <v>0.51245426625212143</v>
      </c>
      <c r="AZ159" s="5"/>
      <c r="BA159" s="5">
        <f t="shared" si="218"/>
        <v>0.10742095814751958</v>
      </c>
      <c r="BB159" s="5"/>
      <c r="BC159" s="5"/>
      <c r="BD159" s="177">
        <f t="shared" si="219"/>
        <v>0.29573444412236138</v>
      </c>
      <c r="BE159" s="177">
        <f t="shared" si="220"/>
        <v>0.19899663819145699</v>
      </c>
      <c r="BF159" s="177">
        <f t="shared" si="221"/>
        <v>9.9498319095728496E-2</v>
      </c>
      <c r="BG159" s="177"/>
      <c r="BH159" s="538">
        <f t="shared" si="222"/>
        <v>3.0610601504126731E-2</v>
      </c>
      <c r="BI159" s="538">
        <f t="shared" si="223"/>
        <v>3.6995098389273146E-2</v>
      </c>
      <c r="BJ159" s="538">
        <f t="shared" si="224"/>
        <v>4.3749999999999995E-3</v>
      </c>
      <c r="BK159" s="538">
        <f t="shared" si="225"/>
        <v>1.7457108480000001E-2</v>
      </c>
      <c r="BL159">
        <f t="shared" si="226"/>
        <v>3.48E-3</v>
      </c>
      <c r="BM159">
        <f t="shared" si="268"/>
        <v>6.1250000000000006E-6</v>
      </c>
      <c r="BN159">
        <f t="shared" si="269"/>
        <v>9.7607618828383758E-2</v>
      </c>
      <c r="BO159" s="469">
        <f t="shared" si="229"/>
        <v>92.917808373399865</v>
      </c>
      <c r="BP159" s="177">
        <f t="shared" si="230"/>
        <v>3.9200000000000006E-2</v>
      </c>
      <c r="BQ159" s="177">
        <f t="shared" si="231"/>
        <v>1.9600000000000003E-2</v>
      </c>
      <c r="BR159" s="538"/>
      <c r="BT159" s="469">
        <f t="shared" si="232"/>
        <v>58.800000000000004</v>
      </c>
      <c r="BU159" s="538">
        <f t="shared" si="233"/>
        <v>8.7458861440362096E-3</v>
      </c>
      <c r="BV159" s="538">
        <f t="shared" si="234"/>
        <v>1.1879898603450491E-3</v>
      </c>
      <c r="BW159" s="538">
        <f t="shared" si="235"/>
        <v>4.9499577514377049E-4</v>
      </c>
      <c r="BX159" s="538">
        <f t="shared" si="236"/>
        <v>0</v>
      </c>
      <c r="BY159" s="538">
        <f t="shared" si="180"/>
        <v>1.1690089548667572E-2</v>
      </c>
      <c r="BZ159" s="538">
        <f t="shared" si="250"/>
        <v>1.0428871779525029E-2</v>
      </c>
      <c r="CA159" s="641">
        <f t="shared" si="270"/>
        <v>7.8400000000000032E-3</v>
      </c>
      <c r="CB159" s="469">
        <f t="shared" si="238"/>
        <v>40.38783310771764</v>
      </c>
      <c r="CC159" s="177">
        <f t="shared" si="251"/>
        <v>0.17593770837705136</v>
      </c>
      <c r="CD159" s="5">
        <f t="shared" si="239"/>
        <v>2.3520000000000003</v>
      </c>
      <c r="CE159" s="177">
        <f t="shared" si="240"/>
        <v>0.93040267258404707</v>
      </c>
      <c r="CF159" s="5">
        <f t="shared" si="241"/>
        <v>93.040267258404711</v>
      </c>
      <c r="CG159">
        <f t="shared" si="242"/>
        <v>49</v>
      </c>
      <c r="CI159" s="571">
        <f t="shared" si="271"/>
        <v>-50</v>
      </c>
      <c r="CJ159">
        <f t="shared" si="272"/>
        <v>-50</v>
      </c>
    </row>
    <row r="160" spans="5:88" x14ac:dyDescent="0.25">
      <c r="E160" s="174">
        <v>50</v>
      </c>
      <c r="F160" s="221">
        <f t="shared" si="273"/>
        <v>0.1</v>
      </c>
      <c r="G160" s="221">
        <f t="shared" si="252"/>
        <v>0.05</v>
      </c>
      <c r="H160" s="221">
        <f t="shared" si="253"/>
        <v>1.6</v>
      </c>
      <c r="I160" s="221">
        <f t="shared" si="254"/>
        <v>0.8</v>
      </c>
      <c r="J160" s="551">
        <f t="shared" si="186"/>
        <v>12</v>
      </c>
      <c r="K160" s="451">
        <f t="shared" si="187"/>
        <v>19.584</v>
      </c>
      <c r="L160" s="451">
        <f t="shared" si="188"/>
        <v>31.584</v>
      </c>
      <c r="M160" s="451"/>
      <c r="N160" s="221">
        <f t="shared" si="189"/>
        <v>0.62006079027355621</v>
      </c>
      <c r="O160" s="176">
        <f t="shared" si="255"/>
        <v>3.3483282674772035</v>
      </c>
      <c r="P160" s="176">
        <f t="shared" si="256"/>
        <v>1.6741641337386017</v>
      </c>
      <c r="Q160" s="221">
        <f t="shared" si="192"/>
        <v>0.20927051671732522</v>
      </c>
      <c r="R160" s="221">
        <f t="shared" si="257"/>
        <v>0.20927051671732522</v>
      </c>
      <c r="S160" s="221">
        <f t="shared" si="258"/>
        <v>16</v>
      </c>
      <c r="T160" s="221">
        <f t="shared" si="259"/>
        <v>0.71677559912854039</v>
      </c>
      <c r="U160" s="221">
        <f t="shared" si="196"/>
        <v>1.7919389978213511</v>
      </c>
      <c r="V160" s="221">
        <f t="shared" si="197"/>
        <v>1.0980018369003377</v>
      </c>
      <c r="W160" s="201">
        <f t="shared" si="198"/>
        <v>350</v>
      </c>
      <c r="X160" s="451">
        <f t="shared" si="199"/>
        <v>346.02784527120031</v>
      </c>
      <c r="Z160" s="221">
        <f t="shared" si="200"/>
        <v>0.70864090316977857</v>
      </c>
      <c r="AA160" s="177">
        <f t="shared" si="201"/>
        <v>1.0855405992184108</v>
      </c>
      <c r="AB160" s="177">
        <f t="shared" si="260"/>
        <v>0.1076961858920636</v>
      </c>
      <c r="AC160" s="177"/>
      <c r="AD160" s="177">
        <f t="shared" si="203"/>
        <v>0.4595588235294118</v>
      </c>
      <c r="AE160" s="555">
        <f t="shared" si="261"/>
        <v>1813.3333333333337</v>
      </c>
      <c r="AF160" s="538">
        <f t="shared" si="262"/>
        <v>1.9301470588235291E-2</v>
      </c>
      <c r="AH160" s="177">
        <f t="shared" si="263"/>
        <v>0.67612340378281333</v>
      </c>
      <c r="AI160" s="177">
        <f t="shared" si="264"/>
        <v>0.67612340378281333</v>
      </c>
      <c r="AJ160" s="177">
        <f t="shared" si="265"/>
        <v>1.4786099287280099</v>
      </c>
      <c r="AL160" s="555">
        <f t="shared" si="266"/>
        <v>100</v>
      </c>
      <c r="AM160" s="469">
        <f t="shared" si="267"/>
        <v>346.02784527120031</v>
      </c>
      <c r="AO160">
        <f t="shared" si="211"/>
        <v>100</v>
      </c>
      <c r="AP160">
        <f t="shared" si="212"/>
        <v>346.02784527120031</v>
      </c>
      <c r="AR160" s="5">
        <f t="shared" si="249"/>
        <v>2.8899408347216888</v>
      </c>
      <c r="AS160" s="5">
        <f t="shared" si="246"/>
        <v>1.6903085094570334</v>
      </c>
      <c r="AT160" s="5">
        <f t="shared" si="247"/>
        <v>1.1996323252646555</v>
      </c>
      <c r="AU160" s="177">
        <f t="shared" si="248"/>
        <v>0.58489381137099161</v>
      </c>
      <c r="AW160" s="5">
        <f t="shared" si="216"/>
        <v>1.056442818410646</v>
      </c>
      <c r="AX160" s="5"/>
      <c r="AY160" s="5">
        <f t="shared" si="217"/>
        <v>0.52822140920532301</v>
      </c>
      <c r="AZ160" s="5"/>
      <c r="BA160" s="5">
        <f t="shared" si="218"/>
        <v>0.11107706715413478</v>
      </c>
      <c r="BB160" s="5"/>
      <c r="BC160" s="5"/>
      <c r="BD160" s="177">
        <f t="shared" si="219"/>
        <v>0.29854091180010295</v>
      </c>
      <c r="BE160" s="177">
        <f t="shared" si="220"/>
        <v>0.20120322281715564</v>
      </c>
      <c r="BF160" s="177">
        <f t="shared" si="221"/>
        <v>0.10060161140857782</v>
      </c>
      <c r="BG160" s="177"/>
      <c r="BH160" s="538">
        <f t="shared" si="222"/>
        <v>3.1194336606452894E-2</v>
      </c>
      <c r="BI160" s="538">
        <f t="shared" si="223"/>
        <v>3.6946572276682792E-2</v>
      </c>
      <c r="BJ160" s="538">
        <f t="shared" si="224"/>
        <v>4.3253480658900041E-3</v>
      </c>
      <c r="BK160" s="538">
        <f t="shared" si="225"/>
        <v>1.7258987519999998E-2</v>
      </c>
      <c r="BL160">
        <f t="shared" si="226"/>
        <v>3.48E-3</v>
      </c>
      <c r="BM160">
        <f t="shared" si="268"/>
        <v>6.0554872922460054E-6</v>
      </c>
      <c r="BN160">
        <f t="shared" si="269"/>
        <v>9.798648239978093E-2</v>
      </c>
      <c r="BO160" s="469">
        <f t="shared" si="229"/>
        <v>93.205244469025686</v>
      </c>
      <c r="BP160" s="177">
        <f t="shared" si="230"/>
        <v>4.0000000000000008E-2</v>
      </c>
      <c r="BQ160" s="177">
        <f t="shared" si="231"/>
        <v>2.0000000000000004E-2</v>
      </c>
      <c r="BR160" s="538"/>
      <c r="BT160" s="469">
        <f t="shared" si="232"/>
        <v>60.000000000000014</v>
      </c>
      <c r="BU160" s="538">
        <f t="shared" si="233"/>
        <v>8.9126676018436851E-3</v>
      </c>
      <c r="BV160" s="538">
        <f t="shared" si="234"/>
        <v>1.2144821061602993E-3</v>
      </c>
      <c r="BW160" s="538">
        <f t="shared" si="235"/>
        <v>5.0603421090012477E-4</v>
      </c>
      <c r="BX160" s="538">
        <f t="shared" si="236"/>
        <v>0</v>
      </c>
      <c r="BY160" s="538">
        <f t="shared" si="180"/>
        <v>1.1919305202324752E-2</v>
      </c>
      <c r="BZ160" s="538">
        <f t="shared" si="250"/>
        <v>1.0633183918904108E-2</v>
      </c>
      <c r="CA160" s="641">
        <f t="shared" si="270"/>
        <v>7.9092078919131524E-3</v>
      </c>
      <c r="CB160" s="469">
        <f t="shared" si="238"/>
        <v>41.094880932046124</v>
      </c>
      <c r="CC160" s="177">
        <f t="shared" si="251"/>
        <v>0.17781499549401888</v>
      </c>
      <c r="CD160" s="5">
        <f t="shared" si="239"/>
        <v>2.4000000000000004</v>
      </c>
      <c r="CE160" s="177">
        <f t="shared" si="240"/>
        <v>0.93102104076326786</v>
      </c>
      <c r="CF160" s="5">
        <f t="shared" si="241"/>
        <v>93.102104076326782</v>
      </c>
      <c r="CG160">
        <f t="shared" si="242"/>
        <v>50</v>
      </c>
      <c r="CI160" s="571">
        <f t="shared" si="271"/>
        <v>-50</v>
      </c>
      <c r="CJ160">
        <f t="shared" si="272"/>
        <v>-50</v>
      </c>
    </row>
    <row r="161" spans="5:88" x14ac:dyDescent="0.25">
      <c r="E161" s="174">
        <v>51</v>
      </c>
      <c r="F161" s="221">
        <f t="shared" si="273"/>
        <v>0.10200000000000001</v>
      </c>
      <c r="G161" s="221">
        <f t="shared" si="252"/>
        <v>5.1000000000000004E-2</v>
      </c>
      <c r="H161" s="221">
        <f t="shared" si="253"/>
        <v>1.6320000000000001</v>
      </c>
      <c r="I161" s="221">
        <f t="shared" si="254"/>
        <v>0.81600000000000006</v>
      </c>
      <c r="J161" s="551">
        <f t="shared" si="186"/>
        <v>12</v>
      </c>
      <c r="K161" s="451">
        <f t="shared" si="187"/>
        <v>19.584</v>
      </c>
      <c r="L161" s="451">
        <f t="shared" si="188"/>
        <v>31.584</v>
      </c>
      <c r="M161" s="451"/>
      <c r="N161" s="221">
        <f t="shared" si="189"/>
        <v>0.62006079027355621</v>
      </c>
      <c r="O161" s="176">
        <f t="shared" si="255"/>
        <v>3.3483282674772035</v>
      </c>
      <c r="P161" s="176">
        <f t="shared" si="256"/>
        <v>1.6741641337386017</v>
      </c>
      <c r="Q161" s="221">
        <f t="shared" si="192"/>
        <v>0.20927051671732522</v>
      </c>
      <c r="R161" s="221">
        <f t="shared" si="257"/>
        <v>0.20927051671732522</v>
      </c>
      <c r="S161" s="221">
        <f t="shared" si="258"/>
        <v>16</v>
      </c>
      <c r="T161" s="221">
        <f t="shared" si="259"/>
        <v>0.73111111111111116</v>
      </c>
      <c r="U161" s="221">
        <f t="shared" si="196"/>
        <v>1.8277777777777779</v>
      </c>
      <c r="V161" s="221">
        <f t="shared" si="197"/>
        <v>1.1199618736383443</v>
      </c>
      <c r="W161" s="201">
        <f t="shared" si="198"/>
        <v>350</v>
      </c>
      <c r="X161" s="451">
        <f t="shared" si="199"/>
        <v>339.24298556000031</v>
      </c>
      <c r="Z161" s="221">
        <f t="shared" si="200"/>
        <v>0.70864090316977857</v>
      </c>
      <c r="AA161" s="177">
        <f t="shared" si="201"/>
        <v>1.0855405992184108</v>
      </c>
      <c r="AB161" s="177">
        <f t="shared" si="260"/>
        <v>0.1076961858920636</v>
      </c>
      <c r="AC161" s="177"/>
      <c r="AD161" s="177">
        <f t="shared" si="203"/>
        <v>0.4595588235294118</v>
      </c>
      <c r="AE161" s="555">
        <f t="shared" si="261"/>
        <v>1849.6000000000008</v>
      </c>
      <c r="AF161" s="538">
        <f t="shared" si="262"/>
        <v>1.9301470588235291E-2</v>
      </c>
      <c r="AH161" s="177">
        <f t="shared" si="263"/>
        <v>0.68285116554467007</v>
      </c>
      <c r="AI161" s="177">
        <f t="shared" si="264"/>
        <v>0.68285116554467007</v>
      </c>
      <c r="AJ161" s="177">
        <f t="shared" si="265"/>
        <v>1.4835934559590149</v>
      </c>
      <c r="AL161" s="555">
        <f t="shared" si="266"/>
        <v>102.00000000000001</v>
      </c>
      <c r="AM161" s="469">
        <f t="shared" si="267"/>
        <v>339.24298556000031</v>
      </c>
      <c r="AO161">
        <f t="shared" si="211"/>
        <v>102.00000000000001</v>
      </c>
      <c r="AP161">
        <f t="shared" si="212"/>
        <v>339.24298556000031</v>
      </c>
      <c r="AR161" s="5">
        <f t="shared" si="249"/>
        <v>2.9477396514161223</v>
      </c>
      <c r="AS161" s="5">
        <f t="shared" si="246"/>
        <v>1.7071279138616751</v>
      </c>
      <c r="AT161" s="5">
        <f t="shared" si="247"/>
        <v>1.2406117375544472</v>
      </c>
      <c r="AU161" s="177">
        <f t="shared" si="248"/>
        <v>0.57913117023124971</v>
      </c>
      <c r="AW161" s="5">
        <f t="shared" si="216"/>
        <v>1.0882940450868177</v>
      </c>
      <c r="AX161" s="5"/>
      <c r="AY161" s="5">
        <f t="shared" si="217"/>
        <v>0.54414702254340885</v>
      </c>
      <c r="AZ161" s="5"/>
      <c r="BA161" s="5">
        <f t="shared" si="218"/>
        <v>0.11716888632458668</v>
      </c>
      <c r="BB161" s="5"/>
      <c r="BC161" s="5"/>
      <c r="BD161" s="177">
        <f t="shared" si="219"/>
        <v>0.3000225499171687</v>
      </c>
      <c r="BE161" s="177">
        <f t="shared" si="220"/>
        <v>0.2046109142266212</v>
      </c>
      <c r="BF161" s="177">
        <f t="shared" si="221"/>
        <v>0.1023054571133106</v>
      </c>
      <c r="BG161" s="177"/>
      <c r="BH161" s="538">
        <f t="shared" si="222"/>
        <v>3.1504735660579992E-2</v>
      </c>
      <c r="BI161" s="538">
        <f t="shared" si="223"/>
        <v>3.6582557761167582E-2</v>
      </c>
      <c r="BJ161" s="538">
        <f t="shared" si="224"/>
        <v>4.2405373195000037E-3</v>
      </c>
      <c r="BK161" s="538">
        <f t="shared" si="225"/>
        <v>1.6920575999999996E-2</v>
      </c>
      <c r="BL161">
        <f t="shared" si="226"/>
        <v>3.48E-3</v>
      </c>
      <c r="BM161">
        <f t="shared" si="268"/>
        <v>5.9367522473000061E-6</v>
      </c>
      <c r="BN161">
        <f t="shared" si="269"/>
        <v>9.7554530587071808E-2</v>
      </c>
      <c r="BO161" s="469">
        <f t="shared" si="229"/>
        <v>92.728406741247568</v>
      </c>
      <c r="BP161" s="177">
        <f t="shared" si="230"/>
        <v>4.0800000000000003E-2</v>
      </c>
      <c r="BQ161" s="177">
        <f t="shared" si="231"/>
        <v>2.0400000000000001E-2</v>
      </c>
      <c r="BR161" s="538"/>
      <c r="BT161" s="469">
        <f t="shared" si="232"/>
        <v>61.2</v>
      </c>
      <c r="BU161" s="538">
        <f t="shared" si="233"/>
        <v>9.0013530458799978E-3</v>
      </c>
      <c r="BV161" s="538">
        <f t="shared" si="234"/>
        <v>1.255968786619612E-3</v>
      </c>
      <c r="BW161" s="538">
        <f t="shared" si="235"/>
        <v>5.233203277581717E-4</v>
      </c>
      <c r="BX161" s="538">
        <f t="shared" si="236"/>
        <v>0</v>
      </c>
      <c r="BY161" s="538">
        <f t="shared" si="180"/>
        <v>1.2084741721576673E-2</v>
      </c>
      <c r="BZ161" s="538">
        <f t="shared" si="250"/>
        <v>1.0780642160257783E-2</v>
      </c>
      <c r="CA161" s="641">
        <f t="shared" si="270"/>
        <v>7.9092078919131541E-3</v>
      </c>
      <c r="CB161" s="469">
        <f t="shared" si="238"/>
        <v>41.5552339340054</v>
      </c>
      <c r="CC161" s="177">
        <f t="shared" si="251"/>
        <v>0.17874848020056164</v>
      </c>
      <c r="CD161" s="5">
        <f t="shared" si="239"/>
        <v>2.4480000000000004</v>
      </c>
      <c r="CE161" s="177">
        <f t="shared" si="240"/>
        <v>0.931950667698906</v>
      </c>
      <c r="CF161" s="5">
        <f t="shared" si="241"/>
        <v>93.195066769890602</v>
      </c>
      <c r="CG161">
        <f t="shared" si="242"/>
        <v>51</v>
      </c>
      <c r="CI161" s="571">
        <f t="shared" si="271"/>
        <v>-50</v>
      </c>
      <c r="CJ161">
        <f t="shared" si="272"/>
        <v>-50</v>
      </c>
    </row>
    <row r="162" spans="5:88" x14ac:dyDescent="0.25">
      <c r="E162" s="174">
        <v>52</v>
      </c>
      <c r="F162" s="221">
        <f t="shared" si="273"/>
        <v>0.10400000000000001</v>
      </c>
      <c r="G162" s="221">
        <f t="shared" si="252"/>
        <v>5.2000000000000005E-2</v>
      </c>
      <c r="H162" s="221">
        <f t="shared" si="253"/>
        <v>1.6640000000000001</v>
      </c>
      <c r="I162" s="221">
        <f t="shared" si="254"/>
        <v>0.83200000000000007</v>
      </c>
      <c r="J162" s="551">
        <f t="shared" si="186"/>
        <v>12</v>
      </c>
      <c r="K162" s="451">
        <f t="shared" si="187"/>
        <v>19.584</v>
      </c>
      <c r="L162" s="451">
        <f t="shared" si="188"/>
        <v>31.584</v>
      </c>
      <c r="M162" s="451"/>
      <c r="N162" s="221">
        <f t="shared" si="189"/>
        <v>0.62006079027355621</v>
      </c>
      <c r="O162" s="176">
        <f t="shared" si="255"/>
        <v>3.3483282674772035</v>
      </c>
      <c r="P162" s="176">
        <f t="shared" si="256"/>
        <v>1.6741641337386017</v>
      </c>
      <c r="Q162" s="221">
        <f t="shared" si="192"/>
        <v>0.20927051671732522</v>
      </c>
      <c r="R162" s="221">
        <f t="shared" si="257"/>
        <v>0.20927051671732522</v>
      </c>
      <c r="S162" s="221">
        <f t="shared" si="258"/>
        <v>16</v>
      </c>
      <c r="T162" s="221">
        <f t="shared" si="259"/>
        <v>0.74544662309368204</v>
      </c>
      <c r="U162" s="221">
        <f t="shared" si="196"/>
        <v>1.863616557734205</v>
      </c>
      <c r="V162" s="221">
        <f t="shared" si="197"/>
        <v>1.1419219103763512</v>
      </c>
      <c r="W162" s="201">
        <f t="shared" si="198"/>
        <v>350</v>
      </c>
      <c r="X162" s="451">
        <f t="shared" si="199"/>
        <v>332.71908199153876</v>
      </c>
      <c r="Z162" s="221">
        <f t="shared" si="200"/>
        <v>0.70864090316977857</v>
      </c>
      <c r="AA162" s="177">
        <f t="shared" si="201"/>
        <v>1.0855405992184108</v>
      </c>
      <c r="AB162" s="177">
        <f t="shared" si="260"/>
        <v>0.1076961858920636</v>
      </c>
      <c r="AC162" s="177"/>
      <c r="AD162" s="177">
        <f t="shared" si="203"/>
        <v>0.4595588235294118</v>
      </c>
      <c r="AE162" s="555">
        <f t="shared" si="261"/>
        <v>1885.8666666666672</v>
      </c>
      <c r="AF162" s="538">
        <f t="shared" si="262"/>
        <v>1.9301470588235291E-2</v>
      </c>
      <c r="AH162" s="177">
        <f t="shared" si="263"/>
        <v>0.68951328589706773</v>
      </c>
      <c r="AI162" s="177">
        <f t="shared" si="264"/>
        <v>0.68951328589706773</v>
      </c>
      <c r="AJ162" s="177">
        <f t="shared" si="265"/>
        <v>1.4885283599237538</v>
      </c>
      <c r="AL162" s="555">
        <f t="shared" si="266"/>
        <v>104.00000000000001</v>
      </c>
      <c r="AM162" s="469">
        <f t="shared" si="267"/>
        <v>332.71908199153876</v>
      </c>
      <c r="AO162">
        <f t="shared" si="211"/>
        <v>104.00000000000001</v>
      </c>
      <c r="AP162">
        <f t="shared" si="212"/>
        <v>332.71908199153876</v>
      </c>
      <c r="AR162" s="5">
        <f t="shared" si="249"/>
        <v>3.0055384681105561</v>
      </c>
      <c r="AS162" s="5">
        <f t="shared" si="246"/>
        <v>1.7237832147426693</v>
      </c>
      <c r="AT162" s="5">
        <f t="shared" si="247"/>
        <v>1.2817552533678869</v>
      </c>
      <c r="AU162" s="177">
        <f t="shared" si="248"/>
        <v>0.5735355687616045</v>
      </c>
      <c r="AW162" s="5">
        <f t="shared" si="216"/>
        <v>1.1204590895827351</v>
      </c>
      <c r="AX162" s="5"/>
      <c r="AY162" s="5">
        <f t="shared" si="217"/>
        <v>0.56022954479136755</v>
      </c>
      <c r="AZ162" s="5"/>
      <c r="BA162" s="5">
        <f t="shared" si="218"/>
        <v>0.12342828365764837</v>
      </c>
      <c r="BB162" s="5"/>
      <c r="BC162" s="5"/>
      <c r="BD162" s="177">
        <f t="shared" si="219"/>
        <v>0.30148255677556918</v>
      </c>
      <c r="BE162" s="177">
        <f t="shared" si="220"/>
        <v>0.20797608852751309</v>
      </c>
      <c r="BF162" s="177">
        <f t="shared" si="221"/>
        <v>0.10398804426375655</v>
      </c>
      <c r="BG162" s="177"/>
      <c r="BH162" s="538">
        <f t="shared" si="222"/>
        <v>3.1812106213977003E-2</v>
      </c>
      <c r="BI162" s="538">
        <f t="shared" si="223"/>
        <v>3.622909480753303E-2</v>
      </c>
      <c r="BJ162" s="538">
        <f t="shared" si="224"/>
        <v>4.1589885248942346E-3</v>
      </c>
      <c r="BK162" s="538">
        <f t="shared" si="225"/>
        <v>1.6595180307692307E-2</v>
      </c>
      <c r="BL162">
        <f t="shared" si="226"/>
        <v>3.48E-3</v>
      </c>
      <c r="BM162">
        <f t="shared" si="268"/>
        <v>5.8225839348519283E-6</v>
      </c>
      <c r="BN162">
        <f t="shared" si="269"/>
        <v>9.7146009111963E-2</v>
      </c>
      <c r="BO162" s="469">
        <f t="shared" si="229"/>
        <v>92.275369854096581</v>
      </c>
      <c r="BP162" s="177">
        <f t="shared" si="230"/>
        <v>4.1600000000000005E-2</v>
      </c>
      <c r="BQ162" s="177">
        <f t="shared" si="231"/>
        <v>2.0800000000000003E-2</v>
      </c>
      <c r="BR162" s="538"/>
      <c r="BT162" s="469">
        <f t="shared" si="232"/>
        <v>62.400000000000013</v>
      </c>
      <c r="BU162" s="538">
        <f t="shared" si="233"/>
        <v>9.0891732039934305E-3</v>
      </c>
      <c r="BV162" s="538">
        <f t="shared" si="234"/>
        <v>1.2976216019761188E-3</v>
      </c>
      <c r="BW162" s="538">
        <f t="shared" si="235"/>
        <v>5.4067566749004957E-4</v>
      </c>
      <c r="BX162" s="538">
        <f t="shared" si="236"/>
        <v>0</v>
      </c>
      <c r="BY162" s="538">
        <f t="shared" si="180"/>
        <v>1.2249475392728306E-2</v>
      </c>
      <c r="BZ162" s="538">
        <f t="shared" si="250"/>
        <v>1.09274704734596E-2</v>
      </c>
      <c r="CA162" s="641">
        <f t="shared" si="270"/>
        <v>7.9092078919131524E-3</v>
      </c>
      <c r="CB162" s="469">
        <f t="shared" si="238"/>
        <v>42.013624231560662</v>
      </c>
      <c r="CC162" s="177">
        <f t="shared" si="251"/>
        <v>0.17970469239660447</v>
      </c>
      <c r="CD162" s="5">
        <f t="shared" si="239"/>
        <v>2.4960000000000004</v>
      </c>
      <c r="CE162" s="177">
        <f t="shared" si="240"/>
        <v>0.93283836855866009</v>
      </c>
      <c r="CF162" s="5">
        <f t="shared" si="241"/>
        <v>93.283836855866014</v>
      </c>
      <c r="CG162">
        <f t="shared" si="242"/>
        <v>52</v>
      </c>
      <c r="CI162" s="571">
        <f t="shared" si="271"/>
        <v>-50</v>
      </c>
      <c r="CJ162">
        <f t="shared" si="272"/>
        <v>-50</v>
      </c>
    </row>
    <row r="163" spans="5:88" x14ac:dyDescent="0.25">
      <c r="E163" s="174">
        <v>53</v>
      </c>
      <c r="F163" s="221">
        <f t="shared" si="273"/>
        <v>0.10600000000000001</v>
      </c>
      <c r="G163" s="221">
        <f t="shared" si="252"/>
        <v>5.3000000000000005E-2</v>
      </c>
      <c r="H163" s="221">
        <f t="shared" si="253"/>
        <v>1.6960000000000002</v>
      </c>
      <c r="I163" s="221">
        <f t="shared" si="254"/>
        <v>0.84800000000000009</v>
      </c>
      <c r="J163" s="551">
        <f t="shared" si="186"/>
        <v>12</v>
      </c>
      <c r="K163" s="451">
        <f t="shared" si="187"/>
        <v>19.584</v>
      </c>
      <c r="L163" s="451">
        <f t="shared" si="188"/>
        <v>31.584</v>
      </c>
      <c r="M163" s="451"/>
      <c r="N163" s="221">
        <f t="shared" si="189"/>
        <v>0.62006079027355621</v>
      </c>
      <c r="O163" s="176">
        <f t="shared" si="255"/>
        <v>3.3483282674772035</v>
      </c>
      <c r="P163" s="176">
        <f t="shared" si="256"/>
        <v>1.6741641337386017</v>
      </c>
      <c r="Q163" s="221">
        <f t="shared" si="192"/>
        <v>0.20927051671732522</v>
      </c>
      <c r="R163" s="221">
        <f t="shared" si="257"/>
        <v>0.20927051671732522</v>
      </c>
      <c r="S163" s="221">
        <f t="shared" si="258"/>
        <v>16</v>
      </c>
      <c r="T163" s="221">
        <f t="shared" si="259"/>
        <v>0.75978213507625281</v>
      </c>
      <c r="U163" s="221">
        <f t="shared" si="196"/>
        <v>1.899455337690632</v>
      </c>
      <c r="V163" s="221">
        <f t="shared" si="197"/>
        <v>1.163881947114358</v>
      </c>
      <c r="W163" s="201">
        <f t="shared" si="198"/>
        <v>350</v>
      </c>
      <c r="X163" s="451">
        <f t="shared" si="199"/>
        <v>326.44136346339656</v>
      </c>
      <c r="Z163" s="221">
        <f t="shared" si="200"/>
        <v>0.70864090316977857</v>
      </c>
      <c r="AA163" s="177">
        <f t="shared" si="201"/>
        <v>1.0855405992184108</v>
      </c>
      <c r="AB163" s="177">
        <f t="shared" si="260"/>
        <v>0.1076961858920636</v>
      </c>
      <c r="AC163" s="177"/>
      <c r="AD163" s="177">
        <f t="shared" si="203"/>
        <v>0.4595588235294118</v>
      </c>
      <c r="AE163" s="555">
        <f t="shared" si="261"/>
        <v>1922.1333333333339</v>
      </c>
      <c r="AF163" s="538">
        <f t="shared" si="262"/>
        <v>1.9301470588235291E-2</v>
      </c>
      <c r="AH163" s="177">
        <f t="shared" si="263"/>
        <v>0.69611164950130566</v>
      </c>
      <c r="AI163" s="177">
        <f t="shared" si="264"/>
        <v>0.69611164950130566</v>
      </c>
      <c r="AJ163" s="177">
        <f t="shared" si="265"/>
        <v>1.4934160366676337</v>
      </c>
      <c r="AL163" s="555">
        <f t="shared" si="266"/>
        <v>106.00000000000001</v>
      </c>
      <c r="AM163" s="469">
        <f t="shared" si="267"/>
        <v>326.44136346339656</v>
      </c>
      <c r="AO163">
        <f t="shared" si="211"/>
        <v>106.00000000000001</v>
      </c>
      <c r="AP163">
        <f t="shared" si="212"/>
        <v>326.44136346339656</v>
      </c>
      <c r="AR163" s="5">
        <f t="shared" si="249"/>
        <v>3.0633372848049896</v>
      </c>
      <c r="AS163" s="5">
        <f t="shared" si="246"/>
        <v>1.7402791237532644</v>
      </c>
      <c r="AT163" s="5">
        <f t="shared" si="247"/>
        <v>1.3230581610517251</v>
      </c>
      <c r="AU163" s="177">
        <f t="shared" si="248"/>
        <v>0.56809908996490066</v>
      </c>
      <c r="AW163" s="5">
        <f t="shared" si="216"/>
        <v>1.1529349194865379</v>
      </c>
      <c r="AX163" s="5"/>
      <c r="AY163" s="5">
        <f t="shared" si="217"/>
        <v>0.57646745974326896</v>
      </c>
      <c r="AZ163" s="5"/>
      <c r="BA163" s="5">
        <f t="shared" si="218"/>
        <v>0.12985570839952118</v>
      </c>
      <c r="BB163" s="5"/>
      <c r="BC163" s="5"/>
      <c r="BD163" s="177">
        <f t="shared" si="219"/>
        <v>0.30292165521490894</v>
      </c>
      <c r="BE163" s="177">
        <f t="shared" si="220"/>
        <v>0.21130040087143326</v>
      </c>
      <c r="BF163" s="177">
        <f t="shared" si="221"/>
        <v>0.10565020043571663</v>
      </c>
      <c r="BG163" s="177"/>
      <c r="BH163" s="538">
        <f t="shared" si="222"/>
        <v>3.2116535219349054E-2</v>
      </c>
      <c r="BI163" s="538">
        <f t="shared" si="223"/>
        <v>3.5885683314902841E-2</v>
      </c>
      <c r="BJ163" s="538">
        <f t="shared" si="224"/>
        <v>4.0805170432924569E-3</v>
      </c>
      <c r="BK163" s="538">
        <f t="shared" si="225"/>
        <v>1.6282063698113209E-2</v>
      </c>
      <c r="BL163">
        <f t="shared" si="226"/>
        <v>3.48E-3</v>
      </c>
      <c r="BM163">
        <f t="shared" si="268"/>
        <v>5.7127238606094403E-6</v>
      </c>
      <c r="BN163">
        <f t="shared" si="269"/>
        <v>9.6759593296582458E-2</v>
      </c>
      <c r="BO163" s="469">
        <f t="shared" si="229"/>
        <v>91.84479927565755</v>
      </c>
      <c r="BP163" s="177">
        <f t="shared" si="230"/>
        <v>4.2400000000000007E-2</v>
      </c>
      <c r="BQ163" s="177">
        <f t="shared" si="231"/>
        <v>2.1200000000000004E-2</v>
      </c>
      <c r="BR163" s="538"/>
      <c r="BT163" s="469">
        <f t="shared" si="232"/>
        <v>63.600000000000016</v>
      </c>
      <c r="BU163" s="538">
        <f t="shared" si="233"/>
        <v>9.1761529198140165E-3</v>
      </c>
      <c r="BV163" s="538">
        <f t="shared" si="234"/>
        <v>1.3394357822528518E-3</v>
      </c>
      <c r="BW163" s="538">
        <f t="shared" si="235"/>
        <v>5.580982426053549E-4</v>
      </c>
      <c r="BX163" s="538">
        <f t="shared" si="236"/>
        <v>0</v>
      </c>
      <c r="BY163" s="538">
        <f t="shared" si="180"/>
        <v>1.2413526458503361E-2</v>
      </c>
      <c r="BZ163" s="538">
        <f t="shared" si="250"/>
        <v>1.1073686944672223E-2</v>
      </c>
      <c r="CA163" s="641">
        <f t="shared" si="270"/>
        <v>7.9092078919131524E-3</v>
      </c>
      <c r="CB163" s="469">
        <f t="shared" si="238"/>
        <v>42.470108239760954</v>
      </c>
      <c r="CC163" s="177">
        <f t="shared" si="251"/>
        <v>0.18068232764699896</v>
      </c>
      <c r="CD163" s="5">
        <f t="shared" si="239"/>
        <v>2.5440000000000005</v>
      </c>
      <c r="CE163" s="177">
        <f t="shared" si="240"/>
        <v>0.93368682807032632</v>
      </c>
      <c r="CF163" s="5">
        <f t="shared" si="241"/>
        <v>93.368682807032627</v>
      </c>
      <c r="CG163">
        <f t="shared" si="242"/>
        <v>53</v>
      </c>
      <c r="CI163" s="571">
        <f t="shared" si="271"/>
        <v>-50</v>
      </c>
      <c r="CJ163">
        <f t="shared" si="272"/>
        <v>-50</v>
      </c>
    </row>
    <row r="164" spans="5:88" x14ac:dyDescent="0.25">
      <c r="E164" s="174">
        <v>54</v>
      </c>
      <c r="F164" s="221">
        <f t="shared" si="273"/>
        <v>0.10800000000000001</v>
      </c>
      <c r="G164" s="221">
        <f t="shared" si="252"/>
        <v>5.4000000000000006E-2</v>
      </c>
      <c r="H164" s="221">
        <f t="shared" si="253"/>
        <v>1.7280000000000002</v>
      </c>
      <c r="I164" s="221">
        <f t="shared" si="254"/>
        <v>0.8640000000000001</v>
      </c>
      <c r="J164" s="551">
        <f t="shared" si="186"/>
        <v>12</v>
      </c>
      <c r="K164" s="451">
        <f t="shared" si="187"/>
        <v>19.584</v>
      </c>
      <c r="L164" s="451">
        <f t="shared" si="188"/>
        <v>31.584</v>
      </c>
      <c r="M164" s="451"/>
      <c r="N164" s="221">
        <f t="shared" si="189"/>
        <v>0.62006079027355621</v>
      </c>
      <c r="O164" s="176">
        <f t="shared" si="255"/>
        <v>3.3483282674772035</v>
      </c>
      <c r="P164" s="176">
        <f t="shared" si="256"/>
        <v>1.6741641337386017</v>
      </c>
      <c r="Q164" s="221">
        <f t="shared" si="192"/>
        <v>0.20927051671732522</v>
      </c>
      <c r="R164" s="221">
        <f t="shared" si="257"/>
        <v>0.20927051671732522</v>
      </c>
      <c r="S164" s="221">
        <f t="shared" si="258"/>
        <v>16</v>
      </c>
      <c r="T164" s="221">
        <f t="shared" si="259"/>
        <v>0.77411764705882358</v>
      </c>
      <c r="U164" s="221">
        <f t="shared" si="196"/>
        <v>1.9352941176470591</v>
      </c>
      <c r="V164" s="221">
        <f t="shared" si="197"/>
        <v>1.1858419838523646</v>
      </c>
      <c r="W164" s="201">
        <f t="shared" si="198"/>
        <v>350</v>
      </c>
      <c r="X164" s="451">
        <f t="shared" si="199"/>
        <v>320.39615302888916</v>
      </c>
      <c r="Z164" s="221">
        <f t="shared" si="200"/>
        <v>0.70864090316977857</v>
      </c>
      <c r="AA164" s="177">
        <f t="shared" si="201"/>
        <v>1.0855405992184108</v>
      </c>
      <c r="AB164" s="177">
        <f t="shared" si="260"/>
        <v>0.1076961858920636</v>
      </c>
      <c r="AC164" s="177"/>
      <c r="AD164" s="177">
        <f t="shared" si="203"/>
        <v>0.4595588235294118</v>
      </c>
      <c r="AE164" s="555">
        <f t="shared" si="261"/>
        <v>1958.4000000000005</v>
      </c>
      <c r="AF164" s="538">
        <f t="shared" si="262"/>
        <v>1.9301470588235291E-2</v>
      </c>
      <c r="AH164" s="177">
        <f t="shared" si="263"/>
        <v>0.70264805252294393</v>
      </c>
      <c r="AI164" s="177">
        <f t="shared" si="264"/>
        <v>0.77411764705882358</v>
      </c>
      <c r="AJ164" s="177">
        <f t="shared" si="265"/>
        <v>1.55119825708061</v>
      </c>
      <c r="AL164" s="555">
        <f t="shared" si="266"/>
        <v>108.00000000000001</v>
      </c>
      <c r="AM164" s="469">
        <f t="shared" si="267"/>
        <v>320.39615302888916</v>
      </c>
      <c r="AO164">
        <f t="shared" si="211"/>
        <v>108.00000000000001</v>
      </c>
      <c r="AP164">
        <f t="shared" si="212"/>
        <v>320.39615302888916</v>
      </c>
      <c r="AR164" s="5">
        <f t="shared" si="249"/>
        <v>3.1211361014994239</v>
      </c>
      <c r="AS164" s="5">
        <f t="shared" si="246"/>
        <v>1.9352941176470591</v>
      </c>
      <c r="AT164" s="5">
        <f t="shared" si="247"/>
        <v>1.1858419838523648</v>
      </c>
      <c r="AU164" s="177">
        <f t="shared" si="248"/>
        <v>0.62006079027355621</v>
      </c>
      <c r="AW164" s="5">
        <f t="shared" si="216"/>
        <v>1.306323529411765</v>
      </c>
      <c r="AX164" s="5"/>
      <c r="AY164" s="5">
        <f t="shared" si="217"/>
        <v>0.6531617647058825</v>
      </c>
      <c r="AZ164" s="5"/>
      <c r="BA164" s="5">
        <f t="shared" si="218"/>
        <v>0.11858419838523648</v>
      </c>
      <c r="BB164" s="5"/>
      <c r="BC164" s="5"/>
      <c r="BD164" s="177">
        <f t="shared" si="219"/>
        <v>0.35193582302660209</v>
      </c>
      <c r="BE164" s="177">
        <f t="shared" si="220"/>
        <v>0.22039076128230251</v>
      </c>
      <c r="BF164" s="177">
        <f t="shared" si="221"/>
        <v>0.11019538064115125</v>
      </c>
      <c r="BG164" s="177"/>
      <c r="BH164" s="538">
        <f t="shared" si="222"/>
        <v>4.335058823529412E-2</v>
      </c>
      <c r="BI164" s="538">
        <f t="shared" si="223"/>
        <v>3.9167999999999994E-2</v>
      </c>
      <c r="BJ164" s="538">
        <f t="shared" si="224"/>
        <v>4.0049519128611145E-3</v>
      </c>
      <c r="BK164" s="538">
        <f t="shared" si="225"/>
        <v>1.5980543999999996E-2</v>
      </c>
      <c r="BL164">
        <f t="shared" si="226"/>
        <v>3.48E-3</v>
      </c>
      <c r="BM164">
        <f t="shared" si="268"/>
        <v>5.6069326780055606E-6</v>
      </c>
      <c r="BN164">
        <f t="shared" si="269"/>
        <v>0.11274376582345093</v>
      </c>
      <c r="BO164" s="469">
        <f t="shared" si="229"/>
        <v>105.98408414815523</v>
      </c>
      <c r="BP164" s="177">
        <f t="shared" si="230"/>
        <v>4.3200000000000009E-2</v>
      </c>
      <c r="BQ164" s="177">
        <f t="shared" si="231"/>
        <v>2.1600000000000005E-2</v>
      </c>
      <c r="BR164" s="538"/>
      <c r="BT164" s="469">
        <f t="shared" si="232"/>
        <v>64.800000000000011</v>
      </c>
      <c r="BU164" s="538">
        <f t="shared" si="233"/>
        <v>1.2385882352941179E-2</v>
      </c>
      <c r="BV164" s="538">
        <f t="shared" si="234"/>
        <v>1.4571626297577853E-3</v>
      </c>
      <c r="BW164" s="538">
        <f t="shared" si="235"/>
        <v>6.0715109573241061E-4</v>
      </c>
      <c r="BX164" s="538">
        <f t="shared" si="236"/>
        <v>0</v>
      </c>
      <c r="BY164" s="538">
        <f t="shared" si="180"/>
        <v>1.6202950472753573E-2</v>
      </c>
      <c r="BZ164" s="538">
        <f t="shared" si="250"/>
        <v>1.4450196078431374E-2</v>
      </c>
      <c r="CA164" s="641">
        <f t="shared" si="270"/>
        <v>9.5999999999999992E-3</v>
      </c>
      <c r="CB164" s="469">
        <f t="shared" si="238"/>
        <v>54.703342629616323</v>
      </c>
      <c r="CC164" s="177">
        <f t="shared" si="251"/>
        <v>0.20334671629620452</v>
      </c>
      <c r="CD164" s="5">
        <f t="shared" si="239"/>
        <v>2.5920000000000005</v>
      </c>
      <c r="CE164" s="177">
        <f t="shared" si="240"/>
        <v>0.92725527924291418</v>
      </c>
      <c r="CF164" s="5">
        <f t="shared" si="241"/>
        <v>92.725527924291413</v>
      </c>
      <c r="CG164">
        <f t="shared" si="242"/>
        <v>54</v>
      </c>
      <c r="CI164" s="571">
        <f t="shared" si="271"/>
        <v>-50</v>
      </c>
      <c r="CJ164">
        <f t="shared" si="272"/>
        <v>-50</v>
      </c>
    </row>
    <row r="165" spans="5:88" x14ac:dyDescent="0.25">
      <c r="E165" s="174">
        <v>55</v>
      </c>
      <c r="F165" s="221">
        <f t="shared" si="273"/>
        <v>0.11000000000000001</v>
      </c>
      <c r="G165" s="221">
        <f t="shared" si="252"/>
        <v>5.5000000000000007E-2</v>
      </c>
      <c r="H165" s="221">
        <f t="shared" si="253"/>
        <v>1.7600000000000002</v>
      </c>
      <c r="I165" s="221">
        <f t="shared" si="254"/>
        <v>0.88000000000000012</v>
      </c>
      <c r="J165" s="551">
        <f t="shared" si="186"/>
        <v>12</v>
      </c>
      <c r="K165" s="451">
        <f t="shared" si="187"/>
        <v>19.584</v>
      </c>
      <c r="L165" s="451">
        <f t="shared" si="188"/>
        <v>31.584</v>
      </c>
      <c r="M165" s="451"/>
      <c r="N165" s="221">
        <f t="shared" si="189"/>
        <v>0.62006079027355621</v>
      </c>
      <c r="O165" s="176">
        <f t="shared" si="255"/>
        <v>3.3483282674772035</v>
      </c>
      <c r="P165" s="176">
        <f t="shared" si="256"/>
        <v>1.6741641337386017</v>
      </c>
      <c r="Q165" s="221">
        <f t="shared" si="192"/>
        <v>0.20927051671732522</v>
      </c>
      <c r="R165" s="221">
        <f t="shared" si="257"/>
        <v>0.20927051671732522</v>
      </c>
      <c r="S165" s="221">
        <f t="shared" si="258"/>
        <v>16</v>
      </c>
      <c r="T165" s="221">
        <f t="shared" si="259"/>
        <v>0.78845315904139446</v>
      </c>
      <c r="U165" s="221">
        <f t="shared" si="196"/>
        <v>1.9711328976034863</v>
      </c>
      <c r="V165" s="221">
        <f t="shared" si="197"/>
        <v>1.2078020205903717</v>
      </c>
      <c r="W165" s="201">
        <f t="shared" si="198"/>
        <v>350</v>
      </c>
      <c r="X165" s="451">
        <f t="shared" si="199"/>
        <v>314.57076842836392</v>
      </c>
      <c r="Z165" s="221">
        <f t="shared" si="200"/>
        <v>0.70864090316977857</v>
      </c>
      <c r="AA165" s="177">
        <f t="shared" si="201"/>
        <v>1.0855405992184108</v>
      </c>
      <c r="AB165" s="177">
        <f t="shared" si="260"/>
        <v>0.1076961858920636</v>
      </c>
      <c r="AC165" s="177"/>
      <c r="AD165" s="177">
        <f t="shared" si="203"/>
        <v>0.4595588235294118</v>
      </c>
      <c r="AE165" s="555">
        <f t="shared" si="261"/>
        <v>1994.6666666666672</v>
      </c>
      <c r="AF165" s="538">
        <f t="shared" si="262"/>
        <v>1.9301470588235291E-2</v>
      </c>
      <c r="AH165" s="177">
        <f t="shared" si="263"/>
        <v>0.70912420834233481</v>
      </c>
      <c r="AI165" s="177">
        <f t="shared" si="264"/>
        <v>0.78845315904139446</v>
      </c>
      <c r="AJ165" s="177">
        <f t="shared" si="265"/>
        <v>1.5618171548454773</v>
      </c>
      <c r="AL165" s="555">
        <f t="shared" si="266"/>
        <v>110.00000000000001</v>
      </c>
      <c r="AM165" s="469">
        <f t="shared" si="267"/>
        <v>314.57076842836392</v>
      </c>
      <c r="AO165">
        <f t="shared" si="211"/>
        <v>110.00000000000001</v>
      </c>
      <c r="AP165">
        <f t="shared" si="212"/>
        <v>314.57076842836392</v>
      </c>
      <c r="AR165" s="5">
        <f t="shared" si="249"/>
        <v>3.1789349181938578</v>
      </c>
      <c r="AS165" s="5">
        <f t="shared" si="246"/>
        <v>1.9711328976034863</v>
      </c>
      <c r="AT165" s="5">
        <f t="shared" si="247"/>
        <v>1.2078020205903715</v>
      </c>
      <c r="AU165" s="177">
        <f t="shared" si="248"/>
        <v>0.62006079027355621</v>
      </c>
      <c r="AW165" s="5">
        <f t="shared" si="216"/>
        <v>1.355153867102397</v>
      </c>
      <c r="AX165" s="5"/>
      <c r="AY165" s="5">
        <f t="shared" si="217"/>
        <v>0.67757693355119852</v>
      </c>
      <c r="AZ165" s="5"/>
      <c r="BA165" s="5">
        <f t="shared" si="218"/>
        <v>0.12301687246753784</v>
      </c>
      <c r="BB165" s="5"/>
      <c r="BC165" s="5"/>
      <c r="BD165" s="177">
        <f t="shared" si="219"/>
        <v>0.3584531530826503</v>
      </c>
      <c r="BE165" s="177">
        <f t="shared" si="220"/>
        <v>0.22447207167641919</v>
      </c>
      <c r="BF165" s="177">
        <f t="shared" si="221"/>
        <v>0.1122360358382096</v>
      </c>
      <c r="BG165" s="177"/>
      <c r="BH165" s="538">
        <f t="shared" si="222"/>
        <v>4.497103203421287E-2</v>
      </c>
      <c r="BI165" s="538">
        <f t="shared" si="223"/>
        <v>3.9167999999999994E-2</v>
      </c>
      <c r="BJ165" s="538">
        <f t="shared" si="224"/>
        <v>3.9321346053545489E-3</v>
      </c>
      <c r="BK165" s="538">
        <f t="shared" si="225"/>
        <v>1.5689988654545454E-2</v>
      </c>
      <c r="BL165">
        <f t="shared" si="226"/>
        <v>3.48E-3</v>
      </c>
      <c r="BM165">
        <f t="shared" si="268"/>
        <v>5.5049884474963689E-6</v>
      </c>
      <c r="BN165">
        <f t="shared" si="269"/>
        <v>0.11426583096478236</v>
      </c>
      <c r="BO165" s="469">
        <f t="shared" si="229"/>
        <v>107.24115529411286</v>
      </c>
      <c r="BP165" s="177">
        <f t="shared" si="230"/>
        <v>4.4000000000000011E-2</v>
      </c>
      <c r="BQ165" s="177">
        <f t="shared" si="231"/>
        <v>2.2000000000000006E-2</v>
      </c>
      <c r="BR165" s="538"/>
      <c r="BT165" s="469">
        <f t="shared" si="232"/>
        <v>66.000000000000014</v>
      </c>
      <c r="BU165" s="538">
        <f t="shared" si="233"/>
        <v>1.2848866295489392E-2</v>
      </c>
      <c r="BV165" s="538">
        <f t="shared" si="234"/>
        <v>1.5116313288811043E-3</v>
      </c>
      <c r="BW165" s="538">
        <f t="shared" si="235"/>
        <v>6.2984638703379346E-4</v>
      </c>
      <c r="BX165" s="538">
        <f t="shared" si="236"/>
        <v>0</v>
      </c>
      <c r="BY165" s="538">
        <f t="shared" ref="BY165:BY210" si="274">(BX165+(BU165+BV165+BW165)*(1+Ltc*(Ta-25)))/(1-(BU165+BV165+BW165)*Ltc*ThetaCa)</f>
        <v>1.680934352013062E-2</v>
      </c>
      <c r="BZ165" s="538">
        <f t="shared" si="250"/>
        <v>1.499034401140429E-2</v>
      </c>
      <c r="CA165" s="641">
        <f t="shared" si="270"/>
        <v>9.7777777777777811E-3</v>
      </c>
      <c r="CB165" s="469">
        <f t="shared" si="238"/>
        <v>56.567809320716975</v>
      </c>
      <c r="CC165" s="177">
        <f t="shared" si="251"/>
        <v>0.20685295226269076</v>
      </c>
      <c r="CD165" s="5">
        <f t="shared" si="239"/>
        <v>2.6400000000000006</v>
      </c>
      <c r="CE165" s="177">
        <f t="shared" si="240"/>
        <v>0.92733978335681744</v>
      </c>
      <c r="CF165" s="5">
        <f t="shared" si="241"/>
        <v>92.733978335681741</v>
      </c>
      <c r="CG165">
        <f t="shared" si="242"/>
        <v>55.000000000000007</v>
      </c>
      <c r="CI165" s="571">
        <f t="shared" si="271"/>
        <v>-50</v>
      </c>
      <c r="CJ165">
        <f t="shared" si="272"/>
        <v>-50</v>
      </c>
    </row>
    <row r="166" spans="5:88" x14ac:dyDescent="0.25">
      <c r="E166" s="174">
        <v>56</v>
      </c>
      <c r="F166" s="221">
        <f t="shared" si="273"/>
        <v>0.11200000000000002</v>
      </c>
      <c r="G166" s="221">
        <f t="shared" si="252"/>
        <v>5.6000000000000008E-2</v>
      </c>
      <c r="H166" s="221">
        <f t="shared" si="253"/>
        <v>1.7920000000000003</v>
      </c>
      <c r="I166" s="221">
        <f t="shared" si="254"/>
        <v>0.89600000000000013</v>
      </c>
      <c r="J166" s="551">
        <f t="shared" si="186"/>
        <v>12</v>
      </c>
      <c r="K166" s="451">
        <f t="shared" si="187"/>
        <v>19.584</v>
      </c>
      <c r="L166" s="451">
        <f t="shared" si="188"/>
        <v>31.584</v>
      </c>
      <c r="M166" s="451"/>
      <c r="N166" s="221">
        <f t="shared" si="189"/>
        <v>0.62006079027355621</v>
      </c>
      <c r="O166" s="176">
        <f t="shared" si="255"/>
        <v>3.3483282674772035</v>
      </c>
      <c r="P166" s="176">
        <f t="shared" si="256"/>
        <v>1.6741641337386017</v>
      </c>
      <c r="Q166" s="221">
        <f t="shared" si="192"/>
        <v>0.20927051671732522</v>
      </c>
      <c r="R166" s="221">
        <f t="shared" si="257"/>
        <v>0.20927051671732522</v>
      </c>
      <c r="S166" s="221">
        <f t="shared" si="258"/>
        <v>16</v>
      </c>
      <c r="T166" s="221">
        <f t="shared" si="259"/>
        <v>0.80278867102396523</v>
      </c>
      <c r="U166" s="221">
        <f t="shared" si="196"/>
        <v>2.0069716775599131</v>
      </c>
      <c r="V166" s="221">
        <f t="shared" si="197"/>
        <v>1.2297620573283781</v>
      </c>
      <c r="W166" s="201">
        <f t="shared" si="198"/>
        <v>350</v>
      </c>
      <c r="X166" s="451">
        <f t="shared" si="199"/>
        <v>308.95343327785747</v>
      </c>
      <c r="Z166" s="221">
        <f t="shared" si="200"/>
        <v>0.70864090316977857</v>
      </c>
      <c r="AA166" s="177">
        <f t="shared" si="201"/>
        <v>1.0855405992184108</v>
      </c>
      <c r="AB166" s="177">
        <f t="shared" si="260"/>
        <v>0.1076961858920636</v>
      </c>
      <c r="AC166" s="177"/>
      <c r="AD166" s="177">
        <f t="shared" si="203"/>
        <v>0.4595588235294118</v>
      </c>
      <c r="AE166" s="555">
        <f t="shared" si="261"/>
        <v>2030.9333333333341</v>
      </c>
      <c r="AF166" s="538">
        <f t="shared" si="262"/>
        <v>1.9301470588235291E-2</v>
      </c>
      <c r="AH166" s="177">
        <f t="shared" si="263"/>
        <v>0.71554175279993282</v>
      </c>
      <c r="AI166" s="177">
        <f t="shared" si="264"/>
        <v>0.80278867102396523</v>
      </c>
      <c r="AJ166" s="177">
        <f t="shared" si="265"/>
        <v>1.5724360526103447</v>
      </c>
      <c r="AL166" s="555">
        <f t="shared" si="266"/>
        <v>112.00000000000001</v>
      </c>
      <c r="AM166" s="469">
        <f t="shared" si="267"/>
        <v>308.95343327785747</v>
      </c>
      <c r="AO166">
        <f t="shared" si="211"/>
        <v>112.00000000000001</v>
      </c>
      <c r="AP166">
        <f t="shared" si="212"/>
        <v>308.95343327785747</v>
      </c>
      <c r="AR166" s="5">
        <f t="shared" si="249"/>
        <v>3.2367337348882907</v>
      </c>
      <c r="AS166" s="5">
        <f t="shared" si="246"/>
        <v>2.0069716775599131</v>
      </c>
      <c r="AT166" s="5">
        <f t="shared" si="247"/>
        <v>1.2297620573283776</v>
      </c>
      <c r="AU166" s="177">
        <f t="shared" si="248"/>
        <v>0.62006079027355632</v>
      </c>
      <c r="AW166" s="5">
        <f t="shared" si="216"/>
        <v>1.4048801742919395</v>
      </c>
      <c r="AX166" s="5"/>
      <c r="AY166" s="5">
        <f t="shared" si="217"/>
        <v>0.70244008714596973</v>
      </c>
      <c r="AZ166" s="5"/>
      <c r="BA166" s="5">
        <f t="shared" si="218"/>
        <v>0.12753088001923918</v>
      </c>
      <c r="BB166" s="5"/>
      <c r="BC166" s="5"/>
      <c r="BD166" s="177">
        <f t="shared" si="219"/>
        <v>0.36497048313869851</v>
      </c>
      <c r="BE166" s="177">
        <f t="shared" si="220"/>
        <v>0.22855338207053594</v>
      </c>
      <c r="BF166" s="177">
        <f t="shared" si="221"/>
        <v>0.11427669103526797</v>
      </c>
      <c r="BG166" s="177"/>
      <c r="BH166" s="538">
        <f t="shared" si="222"/>
        <v>4.6621208746873255E-2</v>
      </c>
      <c r="BI166" s="538">
        <f t="shared" si="223"/>
        <v>3.9168000000000001E-2</v>
      </c>
      <c r="BJ166" s="538">
        <f t="shared" si="224"/>
        <v>3.8619179159732181E-3</v>
      </c>
      <c r="BK166" s="538">
        <f t="shared" si="225"/>
        <v>1.5409810285714287E-2</v>
      </c>
      <c r="BL166">
        <f t="shared" si="226"/>
        <v>3.48E-3</v>
      </c>
      <c r="BM166">
        <f t="shared" si="268"/>
        <v>5.4066850823625065E-6</v>
      </c>
      <c r="BN166">
        <f t="shared" si="269"/>
        <v>0.11583658832003864</v>
      </c>
      <c r="BO166" s="469">
        <f t="shared" si="229"/>
        <v>108.54093694856076</v>
      </c>
      <c r="BP166" s="177">
        <f t="shared" si="230"/>
        <v>4.4800000000000006E-2</v>
      </c>
      <c r="BQ166" s="177">
        <f t="shared" si="231"/>
        <v>2.2400000000000003E-2</v>
      </c>
      <c r="BR166" s="538"/>
      <c r="BT166" s="469">
        <f t="shared" si="232"/>
        <v>67.2</v>
      </c>
      <c r="BU166" s="538">
        <f t="shared" si="233"/>
        <v>1.3320345356249503E-2</v>
      </c>
      <c r="BV166" s="538">
        <f t="shared" si="234"/>
        <v>1.5670994536764113E-3</v>
      </c>
      <c r="BW166" s="538">
        <f t="shared" si="235"/>
        <v>6.5295810569850478E-4</v>
      </c>
      <c r="BX166" s="538">
        <f t="shared" si="236"/>
        <v>0</v>
      </c>
      <c r="BY166" s="538">
        <f t="shared" si="274"/>
        <v>1.7426916970403127E-2</v>
      </c>
      <c r="BZ166" s="538">
        <f t="shared" si="250"/>
        <v>1.5540402915624418E-2</v>
      </c>
      <c r="CA166" s="641">
        <f t="shared" si="270"/>
        <v>9.9555555555555578E-3</v>
      </c>
      <c r="CB166" s="469">
        <f t="shared" si="238"/>
        <v>58.463278357207521</v>
      </c>
      <c r="CC166" s="177">
        <f t="shared" si="251"/>
        <v>0.21041906084599732</v>
      </c>
      <c r="CD166" s="5">
        <f t="shared" si="239"/>
        <v>2.6880000000000006</v>
      </c>
      <c r="CE166" s="177">
        <f t="shared" si="240"/>
        <v>0.92740212632172658</v>
      </c>
      <c r="CF166" s="5">
        <f t="shared" si="241"/>
        <v>92.740212632172657</v>
      </c>
      <c r="CG166">
        <f t="shared" si="242"/>
        <v>56.000000000000007</v>
      </c>
      <c r="CI166" s="571">
        <f t="shared" si="271"/>
        <v>-50</v>
      </c>
      <c r="CJ166">
        <f t="shared" si="272"/>
        <v>-50</v>
      </c>
    </row>
    <row r="167" spans="5:88" x14ac:dyDescent="0.25">
      <c r="E167" s="174">
        <v>57</v>
      </c>
      <c r="F167" s="221">
        <f t="shared" si="273"/>
        <v>0.11399999999999999</v>
      </c>
      <c r="G167" s="221">
        <f t="shared" si="252"/>
        <v>5.6999999999999995E-2</v>
      </c>
      <c r="H167" s="221">
        <f t="shared" si="253"/>
        <v>1.8239999999999998</v>
      </c>
      <c r="I167" s="221">
        <f t="shared" si="254"/>
        <v>0.91199999999999992</v>
      </c>
      <c r="J167" s="551">
        <f t="shared" si="186"/>
        <v>12</v>
      </c>
      <c r="K167" s="451">
        <f t="shared" si="187"/>
        <v>19.584</v>
      </c>
      <c r="L167" s="451">
        <f t="shared" si="188"/>
        <v>31.584</v>
      </c>
      <c r="M167" s="451"/>
      <c r="N167" s="221">
        <f t="shared" si="189"/>
        <v>0.62006079027355621</v>
      </c>
      <c r="O167" s="176">
        <f t="shared" si="255"/>
        <v>3.3483282674772035</v>
      </c>
      <c r="P167" s="176">
        <f t="shared" si="256"/>
        <v>1.6741641337386017</v>
      </c>
      <c r="Q167" s="221">
        <f t="shared" si="192"/>
        <v>0.20927051671732522</v>
      </c>
      <c r="R167" s="221">
        <f t="shared" si="257"/>
        <v>0.20927051671732522</v>
      </c>
      <c r="S167" s="221">
        <f t="shared" si="258"/>
        <v>16</v>
      </c>
      <c r="T167" s="221">
        <f t="shared" si="259"/>
        <v>0.81712418300653578</v>
      </c>
      <c r="U167" s="221">
        <f t="shared" si="196"/>
        <v>2.0428104575163393</v>
      </c>
      <c r="V167" s="221">
        <f t="shared" si="197"/>
        <v>1.2517220940663845</v>
      </c>
      <c r="W167" s="201">
        <f t="shared" si="198"/>
        <v>350</v>
      </c>
      <c r="X167" s="451">
        <f t="shared" si="199"/>
        <v>303.53319760631621</v>
      </c>
      <c r="Z167" s="221">
        <f t="shared" si="200"/>
        <v>0.70864090316977857</v>
      </c>
      <c r="AA167" s="177">
        <f t="shared" si="201"/>
        <v>1.0855405992184108</v>
      </c>
      <c r="AB167" s="177">
        <f t="shared" si="260"/>
        <v>0.1076961858920636</v>
      </c>
      <c r="AC167" s="177"/>
      <c r="AD167" s="177">
        <f t="shared" si="203"/>
        <v>0.4595588235294118</v>
      </c>
      <c r="AE167" s="555">
        <f t="shared" si="261"/>
        <v>2067.1999999999998</v>
      </c>
      <c r="AF167" s="538">
        <f t="shared" si="262"/>
        <v>1.9301470588235291E-2</v>
      </c>
      <c r="AH167" s="177">
        <f t="shared" si="263"/>
        <v>0.72190224902188604</v>
      </c>
      <c r="AI167" s="177">
        <f t="shared" si="264"/>
        <v>0.81712418300653578</v>
      </c>
      <c r="AJ167" s="177">
        <f t="shared" si="265"/>
        <v>1.5830549503752116</v>
      </c>
      <c r="AL167" s="555">
        <f t="shared" si="266"/>
        <v>113.99999999999999</v>
      </c>
      <c r="AM167" s="469">
        <f t="shared" si="267"/>
        <v>303.53319760631621</v>
      </c>
      <c r="AO167">
        <f t="shared" si="211"/>
        <v>113.99999999999999</v>
      </c>
      <c r="AP167">
        <f t="shared" si="212"/>
        <v>303.53319760631621</v>
      </c>
      <c r="AR167" s="5">
        <f t="shared" si="249"/>
        <v>3.2945325515827237</v>
      </c>
      <c r="AS167" s="5">
        <f t="shared" si="246"/>
        <v>2.0428104575163393</v>
      </c>
      <c r="AT167" s="5">
        <f t="shared" si="247"/>
        <v>1.2517220940663845</v>
      </c>
      <c r="AU167" s="177">
        <f t="shared" si="248"/>
        <v>0.62006079027355621</v>
      </c>
      <c r="AW167" s="5">
        <f t="shared" si="216"/>
        <v>1.4555024509803915</v>
      </c>
      <c r="AX167" s="5"/>
      <c r="AY167" s="5">
        <f t="shared" si="217"/>
        <v>0.72775122549019577</v>
      </c>
      <c r="AZ167" s="5"/>
      <c r="BA167" s="5">
        <f t="shared" si="218"/>
        <v>0.13212622104034055</v>
      </c>
      <c r="BB167" s="5"/>
      <c r="BC167" s="5"/>
      <c r="BD167" s="177">
        <f t="shared" si="219"/>
        <v>0.37148781319474655</v>
      </c>
      <c r="BE167" s="177">
        <f t="shared" si="220"/>
        <v>0.23263469246465257</v>
      </c>
      <c r="BF167" s="177">
        <f t="shared" si="221"/>
        <v>0.11631734623232629</v>
      </c>
      <c r="BG167" s="177"/>
      <c r="BH167" s="538">
        <f t="shared" si="222"/>
        <v>4.830111837327522E-2</v>
      </c>
      <c r="BI167" s="538">
        <f t="shared" si="223"/>
        <v>3.9168000000000001E-2</v>
      </c>
      <c r="BJ167" s="538">
        <f t="shared" si="224"/>
        <v>3.7941649700789525E-3</v>
      </c>
      <c r="BK167" s="538">
        <f t="shared" si="225"/>
        <v>1.5139462736842109E-2</v>
      </c>
      <c r="BL167">
        <f t="shared" si="226"/>
        <v>3.48E-3</v>
      </c>
      <c r="BM167">
        <f t="shared" si="268"/>
        <v>5.311830958110534E-6</v>
      </c>
      <c r="BN167">
        <f t="shared" si="269"/>
        <v>0.11745541947966252</v>
      </c>
      <c r="BO167" s="469">
        <f t="shared" si="229"/>
        <v>109.88274608019628</v>
      </c>
      <c r="BP167" s="177">
        <f t="shared" si="230"/>
        <v>4.5600000000000002E-2</v>
      </c>
      <c r="BQ167" s="177">
        <f t="shared" si="231"/>
        <v>2.2800000000000001E-2</v>
      </c>
      <c r="BR167" s="538"/>
      <c r="BT167" s="469">
        <f t="shared" si="232"/>
        <v>68.400000000000006</v>
      </c>
      <c r="BU167" s="538">
        <f t="shared" si="233"/>
        <v>1.3800319535221492E-2</v>
      </c>
      <c r="BV167" s="538">
        <f t="shared" si="234"/>
        <v>1.6235670041437045E-3</v>
      </c>
      <c r="BW167" s="538">
        <f t="shared" si="235"/>
        <v>6.764862517265436E-4</v>
      </c>
      <c r="BX167" s="538">
        <f t="shared" si="236"/>
        <v>0</v>
      </c>
      <c r="BY167" s="538">
        <f t="shared" si="274"/>
        <v>1.8055673772321045E-2</v>
      </c>
      <c r="BZ167" s="538">
        <f t="shared" si="250"/>
        <v>1.6100372791091739E-2</v>
      </c>
      <c r="CA167" s="641">
        <f t="shared" si="270"/>
        <v>1.0133333333333333E-2</v>
      </c>
      <c r="CB167" s="469">
        <f t="shared" si="238"/>
        <v>60.389752687837856</v>
      </c>
      <c r="CC167" s="177">
        <f t="shared" si="251"/>
        <v>0.21404442658531686</v>
      </c>
      <c r="CD167" s="5">
        <f t="shared" si="239"/>
        <v>2.7359999999999998</v>
      </c>
      <c r="CE167" s="177">
        <f t="shared" si="240"/>
        <v>0.92744365994749656</v>
      </c>
      <c r="CF167" s="5">
        <f t="shared" si="241"/>
        <v>92.744365994749657</v>
      </c>
      <c r="CG167">
        <f t="shared" si="242"/>
        <v>56.999999999999993</v>
      </c>
      <c r="CI167" s="571">
        <f t="shared" si="271"/>
        <v>-50</v>
      </c>
      <c r="CJ167">
        <f t="shared" si="272"/>
        <v>-50</v>
      </c>
    </row>
    <row r="168" spans="5:88" x14ac:dyDescent="0.25">
      <c r="E168" s="174">
        <v>58</v>
      </c>
      <c r="F168" s="221">
        <f t="shared" si="273"/>
        <v>0.11599999999999999</v>
      </c>
      <c r="G168" s="221">
        <f t="shared" si="252"/>
        <v>5.7999999999999996E-2</v>
      </c>
      <c r="H168" s="221">
        <f t="shared" si="253"/>
        <v>1.8559999999999999</v>
      </c>
      <c r="I168" s="221">
        <f t="shared" si="254"/>
        <v>0.92799999999999994</v>
      </c>
      <c r="J168" s="551">
        <f t="shared" si="186"/>
        <v>12</v>
      </c>
      <c r="K168" s="451">
        <f t="shared" si="187"/>
        <v>19.584</v>
      </c>
      <c r="L168" s="451">
        <f t="shared" si="188"/>
        <v>31.584</v>
      </c>
      <c r="M168" s="451"/>
      <c r="N168" s="221">
        <f t="shared" si="189"/>
        <v>0.62006079027355621</v>
      </c>
      <c r="O168" s="176">
        <f t="shared" si="255"/>
        <v>3.3483282674772035</v>
      </c>
      <c r="P168" s="176">
        <f t="shared" si="256"/>
        <v>1.6741641337386017</v>
      </c>
      <c r="Q168" s="221">
        <f t="shared" si="192"/>
        <v>0.20927051671732522</v>
      </c>
      <c r="R168" s="221">
        <f t="shared" si="257"/>
        <v>0.20927051671732522</v>
      </c>
      <c r="S168" s="221">
        <f t="shared" si="258"/>
        <v>16</v>
      </c>
      <c r="T168" s="221">
        <f t="shared" si="259"/>
        <v>0.83145969498910666</v>
      </c>
      <c r="U168" s="221">
        <f t="shared" si="196"/>
        <v>2.0786492374727663</v>
      </c>
      <c r="V168" s="221">
        <f t="shared" si="197"/>
        <v>1.2736821308043913</v>
      </c>
      <c r="W168" s="201">
        <f t="shared" si="198"/>
        <v>350</v>
      </c>
      <c r="X168" s="451">
        <f t="shared" si="199"/>
        <v>298.2998666131038</v>
      </c>
      <c r="Z168" s="221">
        <f t="shared" si="200"/>
        <v>0.70864090316977857</v>
      </c>
      <c r="AA168" s="177">
        <f t="shared" si="201"/>
        <v>1.0855405992184108</v>
      </c>
      <c r="AB168" s="177">
        <f t="shared" si="260"/>
        <v>0.1076961858920636</v>
      </c>
      <c r="AC168" s="177"/>
      <c r="AD168" s="177">
        <f t="shared" si="203"/>
        <v>0.4595588235294118</v>
      </c>
      <c r="AE168" s="555">
        <f t="shared" si="261"/>
        <v>2103.4666666666667</v>
      </c>
      <c r="AF168" s="538">
        <f t="shared" si="262"/>
        <v>1.9301470588235291E-2</v>
      </c>
      <c r="AH168" s="177">
        <f t="shared" si="263"/>
        <v>0.72820719186623961</v>
      </c>
      <c r="AI168" s="177">
        <f t="shared" si="264"/>
        <v>0.83145969498910666</v>
      </c>
      <c r="AJ168" s="177">
        <f t="shared" si="265"/>
        <v>1.593673848140079</v>
      </c>
      <c r="AL168" s="555">
        <f t="shared" si="266"/>
        <v>115.99999999999999</v>
      </c>
      <c r="AM168" s="469">
        <f t="shared" si="267"/>
        <v>298.2998666131038</v>
      </c>
      <c r="AO168">
        <f t="shared" si="211"/>
        <v>115.99999999999999</v>
      </c>
      <c r="AP168">
        <f t="shared" si="212"/>
        <v>298.2998666131038</v>
      </c>
      <c r="AR168" s="5">
        <f t="shared" si="249"/>
        <v>3.3523313682771581</v>
      </c>
      <c r="AS168" s="5">
        <f t="shared" si="246"/>
        <v>2.0786492374727663</v>
      </c>
      <c r="AT168" s="5">
        <f t="shared" si="247"/>
        <v>1.2736821308043917</v>
      </c>
      <c r="AU168" s="177">
        <f t="shared" si="248"/>
        <v>0.6200607902735561</v>
      </c>
      <c r="AW168" s="5">
        <f t="shared" si="216"/>
        <v>1.5070206971677556</v>
      </c>
      <c r="AX168" s="5"/>
      <c r="AY168" s="5">
        <f t="shared" si="217"/>
        <v>0.75351034858387778</v>
      </c>
      <c r="AZ168" s="5"/>
      <c r="BA168" s="5">
        <f t="shared" si="218"/>
        <v>0.13680289553084207</v>
      </c>
      <c r="BB168" s="5"/>
      <c r="BC168" s="5"/>
      <c r="BD168" s="177">
        <f t="shared" si="219"/>
        <v>0.37800514325079471</v>
      </c>
      <c r="BE168" s="177">
        <f t="shared" si="220"/>
        <v>0.23671600285876931</v>
      </c>
      <c r="BF168" s="177">
        <f t="shared" si="221"/>
        <v>0.11835800142938466</v>
      </c>
      <c r="BG168" s="177"/>
      <c r="BH168" s="538">
        <f t="shared" si="222"/>
        <v>5.0010760913418835E-2</v>
      </c>
      <c r="BI168" s="538">
        <f t="shared" si="223"/>
        <v>3.9167999999999994E-2</v>
      </c>
      <c r="BJ168" s="538">
        <f t="shared" si="224"/>
        <v>3.7287483326637972E-3</v>
      </c>
      <c r="BK168" s="538">
        <f t="shared" si="225"/>
        <v>1.4878437517241381E-2</v>
      </c>
      <c r="BL168">
        <f t="shared" si="226"/>
        <v>3.48E-3</v>
      </c>
      <c r="BM168">
        <f t="shared" si="268"/>
        <v>5.2202476657293166E-6</v>
      </c>
      <c r="BN168">
        <f t="shared" si="269"/>
        <v>0.11912175442180685</v>
      </c>
      <c r="BO168" s="469">
        <f t="shared" si="229"/>
        <v>111.26594676332402</v>
      </c>
      <c r="BP168" s="177">
        <f t="shared" si="230"/>
        <v>4.6399999999999997E-2</v>
      </c>
      <c r="BQ168" s="177">
        <f t="shared" si="231"/>
        <v>2.3199999999999998E-2</v>
      </c>
      <c r="BR168" s="538"/>
      <c r="BT168" s="469">
        <f t="shared" si="232"/>
        <v>69.599999999999994</v>
      </c>
      <c r="BU168" s="538">
        <f t="shared" si="233"/>
        <v>1.4288788832405384E-2</v>
      </c>
      <c r="BV168" s="538">
        <f t="shared" si="234"/>
        <v>1.6810339802829865E-3</v>
      </c>
      <c r="BW168" s="538">
        <f t="shared" si="235"/>
        <v>7.004308251179111E-4</v>
      </c>
      <c r="BX168" s="538">
        <f t="shared" si="236"/>
        <v>0</v>
      </c>
      <c r="BY168" s="538">
        <f t="shared" si="274"/>
        <v>1.8695616928432014E-2</v>
      </c>
      <c r="BZ168" s="538">
        <f t="shared" si="250"/>
        <v>1.6670253637806279E-2</v>
      </c>
      <c r="CA168" s="641">
        <f t="shared" si="270"/>
        <v>1.0311111111111109E-2</v>
      </c>
      <c r="CB168" s="469">
        <f t="shared" si="238"/>
        <v>62.347235315155686</v>
      </c>
      <c r="CC168" s="177">
        <f t="shared" si="251"/>
        <v>0.21772848246134996</v>
      </c>
      <c r="CD168" s="5">
        <f t="shared" si="239"/>
        <v>2.7839999999999998</v>
      </c>
      <c r="CE168" s="177">
        <f t="shared" si="240"/>
        <v>0.92746563064131049</v>
      </c>
      <c r="CF168" s="5">
        <f t="shared" si="241"/>
        <v>92.746563064131053</v>
      </c>
      <c r="CG168">
        <f t="shared" si="242"/>
        <v>57.999999999999993</v>
      </c>
      <c r="CI168" s="571">
        <f t="shared" si="271"/>
        <v>-50</v>
      </c>
      <c r="CJ168">
        <f t="shared" si="272"/>
        <v>-50</v>
      </c>
    </row>
    <row r="169" spans="5:88" x14ac:dyDescent="0.25">
      <c r="E169" s="174">
        <v>59</v>
      </c>
      <c r="F169" s="221">
        <f t="shared" si="273"/>
        <v>0.11799999999999999</v>
      </c>
      <c r="G169" s="221">
        <f t="shared" si="252"/>
        <v>5.8999999999999997E-2</v>
      </c>
      <c r="H169" s="221">
        <f t="shared" si="253"/>
        <v>1.8879999999999999</v>
      </c>
      <c r="I169" s="221">
        <f t="shared" si="254"/>
        <v>0.94399999999999995</v>
      </c>
      <c r="J169" s="551">
        <f t="shared" si="186"/>
        <v>12</v>
      </c>
      <c r="K169" s="451">
        <f t="shared" si="187"/>
        <v>19.584</v>
      </c>
      <c r="L169" s="451">
        <f t="shared" si="188"/>
        <v>31.584</v>
      </c>
      <c r="M169" s="451"/>
      <c r="N169" s="221">
        <f t="shared" si="189"/>
        <v>0.62006079027355621</v>
      </c>
      <c r="O169" s="176">
        <f t="shared" si="255"/>
        <v>3.3483282674772035</v>
      </c>
      <c r="P169" s="176">
        <f t="shared" si="256"/>
        <v>1.6741641337386017</v>
      </c>
      <c r="Q169" s="221">
        <f t="shared" si="192"/>
        <v>0.20927051671732522</v>
      </c>
      <c r="R169" s="221">
        <f t="shared" si="257"/>
        <v>0.20927051671732522</v>
      </c>
      <c r="S169" s="221">
        <f t="shared" si="258"/>
        <v>16</v>
      </c>
      <c r="T169" s="221">
        <f t="shared" si="259"/>
        <v>0.84579520697167743</v>
      </c>
      <c r="U169" s="221">
        <f t="shared" si="196"/>
        <v>2.1144880174291938</v>
      </c>
      <c r="V169" s="221">
        <f t="shared" si="197"/>
        <v>1.2956421675423981</v>
      </c>
      <c r="W169" s="201">
        <f t="shared" si="198"/>
        <v>350</v>
      </c>
      <c r="X169" s="451">
        <f t="shared" si="199"/>
        <v>293.24393667050879</v>
      </c>
      <c r="Z169" s="221">
        <f t="shared" si="200"/>
        <v>0.70864090316977857</v>
      </c>
      <c r="AA169" s="177">
        <f t="shared" si="201"/>
        <v>1.0855405992184108</v>
      </c>
      <c r="AB169" s="177">
        <f t="shared" si="260"/>
        <v>0.1076961858920636</v>
      </c>
      <c r="AC169" s="177"/>
      <c r="AD169" s="177">
        <f t="shared" si="203"/>
        <v>0.4595588235294118</v>
      </c>
      <c r="AE169" s="555">
        <f t="shared" si="261"/>
        <v>2139.7333333333336</v>
      </c>
      <c r="AF169" s="538">
        <f t="shared" si="262"/>
        <v>1.9301470588235291E-2</v>
      </c>
      <c r="AH169" s="177">
        <f t="shared" si="263"/>
        <v>0.73445801202558292</v>
      </c>
      <c r="AI169" s="177">
        <f t="shared" si="264"/>
        <v>0.84579520697167743</v>
      </c>
      <c r="AJ169" s="177">
        <f t="shared" si="265"/>
        <v>1.6042927459049463</v>
      </c>
      <c r="AL169" s="555">
        <f t="shared" si="266"/>
        <v>118</v>
      </c>
      <c r="AM169" s="469">
        <f t="shared" si="267"/>
        <v>293.24393667050879</v>
      </c>
      <c r="AO169">
        <f t="shared" si="211"/>
        <v>118</v>
      </c>
      <c r="AP169">
        <f t="shared" si="212"/>
        <v>293.24393667050879</v>
      </c>
      <c r="AR169" s="5">
        <f t="shared" si="249"/>
        <v>3.4101301849715924</v>
      </c>
      <c r="AS169" s="5">
        <f t="shared" si="246"/>
        <v>2.1144880174291938</v>
      </c>
      <c r="AT169" s="5">
        <f t="shared" si="247"/>
        <v>1.2956421675423986</v>
      </c>
      <c r="AU169" s="177">
        <f t="shared" si="248"/>
        <v>0.62006079027355621</v>
      </c>
      <c r="AW169" s="5">
        <f t="shared" si="216"/>
        <v>1.5594349128540304</v>
      </c>
      <c r="AX169" s="5"/>
      <c r="AY169" s="5">
        <f t="shared" si="217"/>
        <v>0.77971745642701518</v>
      </c>
      <c r="AZ169" s="5"/>
      <c r="BA169" s="5">
        <f t="shared" si="218"/>
        <v>0.14156090349074352</v>
      </c>
      <c r="BB169" s="5"/>
      <c r="BC169" s="5"/>
      <c r="BD169" s="177">
        <f t="shared" si="219"/>
        <v>0.38452247330684292</v>
      </c>
      <c r="BE169" s="177">
        <f t="shared" si="220"/>
        <v>0.240797313252886</v>
      </c>
      <c r="BF169" s="177">
        <f t="shared" si="221"/>
        <v>0.120398656626443</v>
      </c>
      <c r="BG169" s="177"/>
      <c r="BH169" s="538">
        <f t="shared" si="222"/>
        <v>5.1750136367304099E-2</v>
      </c>
      <c r="BI169" s="538">
        <f t="shared" si="223"/>
        <v>3.9167999999999994E-2</v>
      </c>
      <c r="BJ169" s="538">
        <f t="shared" si="224"/>
        <v>3.6655492083813596E-3</v>
      </c>
      <c r="BK169" s="538">
        <f t="shared" si="225"/>
        <v>1.4626260610169492E-2</v>
      </c>
      <c r="BL169">
        <f t="shared" si="226"/>
        <v>3.48E-3</v>
      </c>
      <c r="BM169">
        <f t="shared" si="268"/>
        <v>5.1317688917339046E-6</v>
      </c>
      <c r="BN169">
        <f t="shared" si="269"/>
        <v>0.12083506752485886</v>
      </c>
      <c r="BO169" s="469">
        <f t="shared" si="229"/>
        <v>112.68994618585492</v>
      </c>
      <c r="BP169" s="177">
        <f t="shared" si="230"/>
        <v>4.7199999999999999E-2</v>
      </c>
      <c r="BQ169" s="177">
        <f t="shared" si="231"/>
        <v>2.3599999999999999E-2</v>
      </c>
      <c r="BR169" s="538"/>
      <c r="BT169" s="469">
        <f t="shared" si="232"/>
        <v>70.8</v>
      </c>
      <c r="BU169" s="538">
        <f t="shared" si="233"/>
        <v>1.4785753247801174E-2</v>
      </c>
      <c r="BV169" s="538">
        <f t="shared" si="234"/>
        <v>1.7395003820942553E-3</v>
      </c>
      <c r="BW169" s="538">
        <f t="shared" si="235"/>
        <v>7.2479182587260643E-4</v>
      </c>
      <c r="BX169" s="538">
        <f t="shared" si="236"/>
        <v>0</v>
      </c>
      <c r="BY169" s="538">
        <f t="shared" si="274"/>
        <v>1.9346749495117173E-2</v>
      </c>
      <c r="BZ169" s="538">
        <f t="shared" si="250"/>
        <v>1.7250045455768036E-2</v>
      </c>
      <c r="CA169" s="641">
        <f t="shared" si="270"/>
        <v>1.0488888888888884E-2</v>
      </c>
      <c r="CB169" s="469">
        <f t="shared" si="238"/>
        <v>64.335729295542123</v>
      </c>
      <c r="CC169" s="177">
        <f t="shared" si="251"/>
        <v>0.22147070590886492</v>
      </c>
      <c r="CD169" s="5">
        <f t="shared" si="239"/>
        <v>2.8319999999999999</v>
      </c>
      <c r="CE169" s="177">
        <f t="shared" si="240"/>
        <v>0.92746918924740629</v>
      </c>
      <c r="CF169" s="5">
        <f t="shared" si="241"/>
        <v>92.746918924740626</v>
      </c>
      <c r="CG169">
        <f t="shared" si="242"/>
        <v>59</v>
      </c>
      <c r="CI169" s="571">
        <f t="shared" si="271"/>
        <v>-50</v>
      </c>
      <c r="CJ169">
        <f t="shared" si="272"/>
        <v>-50</v>
      </c>
    </row>
    <row r="170" spans="5:88" x14ac:dyDescent="0.25">
      <c r="E170" s="174">
        <v>60</v>
      </c>
      <c r="F170" s="221">
        <f t="shared" si="273"/>
        <v>0.12</v>
      </c>
      <c r="G170" s="221">
        <f t="shared" si="252"/>
        <v>0.06</v>
      </c>
      <c r="H170" s="221">
        <f t="shared" si="253"/>
        <v>1.92</v>
      </c>
      <c r="I170" s="221">
        <f t="shared" si="254"/>
        <v>0.96</v>
      </c>
      <c r="J170" s="551">
        <f t="shared" si="186"/>
        <v>12</v>
      </c>
      <c r="K170" s="451">
        <f t="shared" si="187"/>
        <v>19.584</v>
      </c>
      <c r="L170" s="451">
        <f t="shared" si="188"/>
        <v>31.584</v>
      </c>
      <c r="M170" s="451"/>
      <c r="N170" s="221">
        <f t="shared" si="189"/>
        <v>0.62006079027355621</v>
      </c>
      <c r="O170" s="176">
        <f t="shared" si="255"/>
        <v>3.3483282674772035</v>
      </c>
      <c r="P170" s="176">
        <f t="shared" si="256"/>
        <v>1.6741641337386017</v>
      </c>
      <c r="Q170" s="221">
        <f t="shared" si="192"/>
        <v>0.20927051671732522</v>
      </c>
      <c r="R170" s="221">
        <f t="shared" si="257"/>
        <v>0.20927051671732522</v>
      </c>
      <c r="S170" s="221">
        <f t="shared" si="258"/>
        <v>16</v>
      </c>
      <c r="T170" s="221">
        <f t="shared" si="259"/>
        <v>0.86013071895424831</v>
      </c>
      <c r="U170" s="221">
        <f t="shared" si="196"/>
        <v>2.1503267973856208</v>
      </c>
      <c r="V170" s="221">
        <f t="shared" si="197"/>
        <v>1.317602204280405</v>
      </c>
      <c r="W170" s="201">
        <f t="shared" si="198"/>
        <v>350</v>
      </c>
      <c r="X170" s="451">
        <f t="shared" si="199"/>
        <v>288.35653772600034</v>
      </c>
      <c r="Z170" s="221">
        <f t="shared" si="200"/>
        <v>0.70864090316977857</v>
      </c>
      <c r="AA170" s="177">
        <f t="shared" si="201"/>
        <v>1.0855405992184108</v>
      </c>
      <c r="AB170" s="177">
        <f t="shared" si="260"/>
        <v>0.1076961858920636</v>
      </c>
      <c r="AC170" s="177"/>
      <c r="AD170" s="177">
        <f t="shared" si="203"/>
        <v>0.4595588235294118</v>
      </c>
      <c r="AE170" s="555">
        <f t="shared" si="261"/>
        <v>2176.0000000000005</v>
      </c>
      <c r="AF170" s="538">
        <f t="shared" si="262"/>
        <v>1.9301470588235291E-2</v>
      </c>
      <c r="AH170" s="177">
        <f t="shared" si="263"/>
        <v>0.74065607981804116</v>
      </c>
      <c r="AI170" s="177">
        <f t="shared" si="264"/>
        <v>0.86013071895424831</v>
      </c>
      <c r="AJ170" s="177">
        <f t="shared" si="265"/>
        <v>1.6149116436698137</v>
      </c>
      <c r="AL170" s="555">
        <f t="shared" si="266"/>
        <v>120</v>
      </c>
      <c r="AM170" s="469">
        <f t="shared" si="267"/>
        <v>288.35653772600034</v>
      </c>
      <c r="AO170">
        <f t="shared" si="211"/>
        <v>120</v>
      </c>
      <c r="AP170">
        <f t="shared" si="212"/>
        <v>288.35653772600034</v>
      </c>
      <c r="AR170" s="5">
        <f t="shared" si="249"/>
        <v>3.4679290016660258</v>
      </c>
      <c r="AS170" s="5">
        <f t="shared" si="246"/>
        <v>2.1503267973856208</v>
      </c>
      <c r="AT170" s="5">
        <f t="shared" si="247"/>
        <v>1.317602204280405</v>
      </c>
      <c r="AU170" s="177">
        <f t="shared" si="248"/>
        <v>0.62006079027355621</v>
      </c>
      <c r="AW170" s="5">
        <f t="shared" ref="AW170:AW210" si="275">F170*AS170/Vout_ripple*1000</f>
        <v>1.6127450980392155</v>
      </c>
      <c r="AX170" s="5"/>
      <c r="AY170" s="5">
        <f t="shared" ref="AY170:AY210" si="276">G170*AS170/Vout_ripple2*1000</f>
        <v>0.80637254901960775</v>
      </c>
      <c r="AZ170" s="5"/>
      <c r="BA170" s="5">
        <f t="shared" ref="BA170:BA210" si="277">H170/Efficiency/J170*AT170/Vinripple1</f>
        <v>0.146400244920045</v>
      </c>
      <c r="BB170" s="5"/>
      <c r="BC170" s="5"/>
      <c r="BD170" s="177">
        <f t="shared" ref="BD170:BD210" si="278">AI170*SQRT(AU170/3)</f>
        <v>0.39103980336289118</v>
      </c>
      <c r="BE170" s="177">
        <f t="shared" ref="BE170:BE210" si="279">AI170*Npri_sec1*SQRT((1-AU170)/3)*(Pout/Pout_total)</f>
        <v>0.24487862364700275</v>
      </c>
      <c r="BF170" s="177">
        <f t="shared" ref="BF170:BF210" si="280">AI170*Npri_sec2*SQRT((1-AU170)/3)*(Pout2/Pout_total)</f>
        <v>0.12243931182350137</v>
      </c>
      <c r="BG170" s="177"/>
      <c r="BH170" s="538">
        <f t="shared" ref="BH170:BH210" si="281">Rdson*BD170^2</f>
        <v>5.3519244734931012E-2</v>
      </c>
      <c r="BI170" s="538">
        <f t="shared" ref="BI170:BI210" si="282">0.5*L170*AI170*AM170*1000*Trise</f>
        <v>3.9168000000000001E-2</v>
      </c>
      <c r="BJ170" s="538">
        <f t="shared" ref="BJ170:BJ210" si="283">Qg*Vdd*AM170*1000</f>
        <v>3.604456721575004E-3</v>
      </c>
      <c r="BK170" s="538">
        <f t="shared" ref="BK170:BK210" si="284">0.5*(Coss+Csw)*L170^2*AM170*1000</f>
        <v>1.4382489600000003E-2</v>
      </c>
      <c r="BL170">
        <f t="shared" ref="BL170:BL210" si="285">J170*IQ</f>
        <v>3.48E-3</v>
      </c>
      <c r="BM170">
        <f t="shared" si="268"/>
        <v>5.0462394102050062E-6</v>
      </c>
      <c r="BN170">
        <f t="shared" si="269"/>
        <v>0.122594873979394</v>
      </c>
      <c r="BO170" s="469">
        <f t="shared" ref="BO170:BO210" si="286">SUM(BH170:BL170)*1000</f>
        <v>114.15419105650601</v>
      </c>
      <c r="BP170" s="177">
        <f t="shared" ref="BP170:BP210" si="287">Vfwd2*F170</f>
        <v>4.8000000000000001E-2</v>
      </c>
      <c r="BQ170" s="177">
        <f t="shared" ref="BQ170:BQ210" si="288">Vfwd2*G170</f>
        <v>2.4E-2</v>
      </c>
      <c r="BR170" s="538"/>
      <c r="BT170" s="469">
        <f t="shared" ref="BT170:BT210" si="289">SUM(BP170:BS170)*1000</f>
        <v>72.000000000000014</v>
      </c>
      <c r="BU170" s="538">
        <f t="shared" ref="BU170:BU210" si="290">Rdcr_pri*BD170^2</f>
        <v>1.5291212781408861E-2</v>
      </c>
      <c r="BV170" s="538">
        <f t="shared" ref="BV170:BV210" si="291">Rdcr_sec*BE170^2</f>
        <v>1.7989662095775124E-3</v>
      </c>
      <c r="BW170" s="538">
        <f t="shared" ref="BW170:BW210" si="292">Rdcr_sec2*BF170^2</f>
        <v>7.4956925399063024E-4</v>
      </c>
      <c r="BX170" s="538">
        <f t="shared" ref="BX170:BX210" si="293">AI170^2.5*AM170^2.5*k_core</f>
        <v>0</v>
      </c>
      <c r="BY170" s="538">
        <f t="shared" si="274"/>
        <v>2.0009074582627771E-2</v>
      </c>
      <c r="BZ170" s="538">
        <f t="shared" si="250"/>
        <v>1.7839748244977003E-2</v>
      </c>
      <c r="CA170" s="641">
        <f t="shared" si="270"/>
        <v>1.0666666666666668E-2</v>
      </c>
      <c r="CB170" s="469">
        <f t="shared" ref="CB170:CB192" si="294">SUM(BU170:CA170)*1000</f>
        <v>66.355237739248452</v>
      </c>
      <c r="CC170" s="177">
        <f t="shared" si="251"/>
        <v>0.22527061522868841</v>
      </c>
      <c r="CD170" s="5">
        <f t="shared" ref="CD170:CD192" si="295">MIN(H170+I170,O170+P170)</f>
        <v>2.88</v>
      </c>
      <c r="CE170" s="177">
        <f t="shared" ref="CE170:CE192" si="296">CD170/(CD170+CC170)</f>
        <v>0.92745539982121705</v>
      </c>
      <c r="CF170" s="5">
        <f t="shared" ref="CF170:CF192" si="297">CE170*100</f>
        <v>92.745539982121699</v>
      </c>
      <c r="CG170">
        <f t="shared" ref="CG170:CG192" si="298">F170/Iout*100</f>
        <v>60</v>
      </c>
      <c r="CI170" s="571">
        <f t="shared" si="271"/>
        <v>-50</v>
      </c>
      <c r="CJ170">
        <f t="shared" si="272"/>
        <v>-50</v>
      </c>
    </row>
    <row r="171" spans="5:88" x14ac:dyDescent="0.25">
      <c r="E171" s="174">
        <v>61</v>
      </c>
      <c r="F171" s="221">
        <f t="shared" si="273"/>
        <v>0.122</v>
      </c>
      <c r="G171" s="221">
        <f t="shared" si="252"/>
        <v>6.0999999999999999E-2</v>
      </c>
      <c r="H171" s="221">
        <f t="shared" si="253"/>
        <v>1.952</v>
      </c>
      <c r="I171" s="221">
        <f t="shared" si="254"/>
        <v>0.97599999999999998</v>
      </c>
      <c r="J171" s="551">
        <f t="shared" si="186"/>
        <v>12</v>
      </c>
      <c r="K171" s="451">
        <f t="shared" si="187"/>
        <v>19.584</v>
      </c>
      <c r="L171" s="451">
        <f t="shared" si="188"/>
        <v>31.584</v>
      </c>
      <c r="M171" s="451"/>
      <c r="N171" s="221">
        <f t="shared" si="189"/>
        <v>0.62006079027355621</v>
      </c>
      <c r="O171" s="176">
        <f t="shared" si="255"/>
        <v>3.3483282674772035</v>
      </c>
      <c r="P171" s="176">
        <f t="shared" si="256"/>
        <v>1.6741641337386017</v>
      </c>
      <c r="Q171" s="221">
        <f t="shared" si="192"/>
        <v>0.20927051671732522</v>
      </c>
      <c r="R171" s="221">
        <f t="shared" si="257"/>
        <v>0.20927051671732522</v>
      </c>
      <c r="S171" s="221">
        <f t="shared" si="258"/>
        <v>16</v>
      </c>
      <c r="T171" s="221">
        <f t="shared" si="259"/>
        <v>0.87446623093681908</v>
      </c>
      <c r="U171" s="221">
        <f t="shared" si="196"/>
        <v>2.1861655773420479</v>
      </c>
      <c r="V171" s="221">
        <f t="shared" si="197"/>
        <v>1.3395622410184118</v>
      </c>
      <c r="W171" s="201">
        <f t="shared" si="198"/>
        <v>350</v>
      </c>
      <c r="X171" s="451">
        <f t="shared" si="199"/>
        <v>283.62938136983638</v>
      </c>
      <c r="Z171" s="221">
        <f t="shared" si="200"/>
        <v>0.70864090316977857</v>
      </c>
      <c r="AA171" s="177">
        <f t="shared" si="201"/>
        <v>1.0855405992184108</v>
      </c>
      <c r="AB171" s="177">
        <f t="shared" si="260"/>
        <v>0.1076961858920636</v>
      </c>
      <c r="AC171" s="177"/>
      <c r="AD171" s="177">
        <f t="shared" si="203"/>
        <v>0.4595588235294118</v>
      </c>
      <c r="AE171" s="555">
        <f t="shared" si="261"/>
        <v>2212.2666666666669</v>
      </c>
      <c r="AF171" s="538">
        <f t="shared" si="262"/>
        <v>1.9301470588235291E-2</v>
      </c>
      <c r="AH171" s="177">
        <f t="shared" si="263"/>
        <v>0.74680270869506471</v>
      </c>
      <c r="AI171" s="177">
        <f t="shared" si="264"/>
        <v>0.87446623093681908</v>
      </c>
      <c r="AJ171" s="177">
        <f t="shared" si="265"/>
        <v>1.6255305414346808</v>
      </c>
      <c r="AL171" s="555">
        <f t="shared" si="266"/>
        <v>122</v>
      </c>
      <c r="AM171" s="469">
        <f t="shared" si="267"/>
        <v>283.62938136983638</v>
      </c>
      <c r="AO171">
        <f t="shared" si="211"/>
        <v>122</v>
      </c>
      <c r="AP171">
        <f t="shared" si="212"/>
        <v>283.62938136983638</v>
      </c>
      <c r="AR171" s="5">
        <f t="shared" si="249"/>
        <v>3.5257278183604597</v>
      </c>
      <c r="AS171" s="5">
        <f t="shared" si="246"/>
        <v>2.1861655773420479</v>
      </c>
      <c r="AT171" s="5">
        <f t="shared" si="247"/>
        <v>1.3395622410184118</v>
      </c>
      <c r="AU171" s="177">
        <f t="shared" si="248"/>
        <v>0.62006079027355621</v>
      </c>
      <c r="AW171" s="5">
        <f t="shared" si="275"/>
        <v>1.6669512527233115</v>
      </c>
      <c r="AX171" s="5"/>
      <c r="AY171" s="5">
        <f t="shared" si="276"/>
        <v>0.83347562636165573</v>
      </c>
      <c r="AZ171" s="5"/>
      <c r="BA171" s="5">
        <f t="shared" si="277"/>
        <v>0.15132091981874651</v>
      </c>
      <c r="BB171" s="5"/>
      <c r="BC171" s="5"/>
      <c r="BD171" s="177">
        <f t="shared" si="278"/>
        <v>0.39755713341893933</v>
      </c>
      <c r="BE171" s="177">
        <f t="shared" si="279"/>
        <v>0.24895993404111941</v>
      </c>
      <c r="BF171" s="177">
        <f t="shared" si="280"/>
        <v>0.1244799670205597</v>
      </c>
      <c r="BG171" s="177"/>
      <c r="BH171" s="538">
        <f t="shared" si="281"/>
        <v>5.5318086016299513E-2</v>
      </c>
      <c r="BI171" s="538">
        <f t="shared" si="282"/>
        <v>3.9167999999999994E-2</v>
      </c>
      <c r="BJ171" s="538">
        <f t="shared" si="283"/>
        <v>3.5453672671229546E-3</v>
      </c>
      <c r="BK171" s="538">
        <f t="shared" si="284"/>
        <v>1.4146711081967214E-2</v>
      </c>
      <c r="BL171">
        <f t="shared" si="285"/>
        <v>3.48E-3</v>
      </c>
      <c r="BM171">
        <f t="shared" si="268"/>
        <v>4.9635141739721368E-6</v>
      </c>
      <c r="BN171">
        <f t="shared" si="269"/>
        <v>0.1244007265537362</v>
      </c>
      <c r="BO171" s="469">
        <f t="shared" si="286"/>
        <v>115.65816436538968</v>
      </c>
      <c r="BP171" s="177">
        <f t="shared" si="287"/>
        <v>4.8800000000000003E-2</v>
      </c>
      <c r="BQ171" s="177">
        <f t="shared" si="288"/>
        <v>2.4400000000000002E-2</v>
      </c>
      <c r="BR171" s="538"/>
      <c r="BT171" s="469">
        <f t="shared" si="289"/>
        <v>73.2</v>
      </c>
      <c r="BU171" s="538">
        <f t="shared" si="290"/>
        <v>1.5805167433228434E-2</v>
      </c>
      <c r="BV171" s="538">
        <f t="shared" si="291"/>
        <v>1.8594314627327557E-3</v>
      </c>
      <c r="BW171" s="538">
        <f t="shared" si="292"/>
        <v>7.7476310947198165E-4</v>
      </c>
      <c r="BX171" s="538">
        <f t="shared" si="293"/>
        <v>0</v>
      </c>
      <c r="BY171" s="538">
        <f t="shared" si="274"/>
        <v>2.0682595355122353E-2</v>
      </c>
      <c r="BZ171" s="538">
        <f t="shared" si="250"/>
        <v>1.8439362005433172E-2</v>
      </c>
      <c r="CA171" s="641">
        <f t="shared" si="270"/>
        <v>1.0844444444444443E-2</v>
      </c>
      <c r="CB171" s="469">
        <f t="shared" si="294"/>
        <v>68.405763810433143</v>
      </c>
      <c r="CC171" s="177">
        <f t="shared" si="251"/>
        <v>0.22912776635330298</v>
      </c>
      <c r="CD171" s="5">
        <f t="shared" si="295"/>
        <v>2.9279999999999999</v>
      </c>
      <c r="CE171" s="177">
        <f t="shared" si="296"/>
        <v>0.9274252474685365</v>
      </c>
      <c r="CF171" s="5">
        <f t="shared" si="297"/>
        <v>92.742524746853647</v>
      </c>
      <c r="CG171">
        <f t="shared" si="298"/>
        <v>61</v>
      </c>
      <c r="CI171" s="571">
        <f t="shared" si="271"/>
        <v>-50</v>
      </c>
      <c r="CJ171">
        <f t="shared" si="272"/>
        <v>-50</v>
      </c>
    </row>
    <row r="172" spans="5:88" x14ac:dyDescent="0.25">
      <c r="E172" s="174">
        <v>62</v>
      </c>
      <c r="F172" s="221">
        <f t="shared" si="273"/>
        <v>0.124</v>
      </c>
      <c r="G172" s="221">
        <f t="shared" si="252"/>
        <v>6.2E-2</v>
      </c>
      <c r="H172" s="221">
        <f t="shared" si="253"/>
        <v>1.984</v>
      </c>
      <c r="I172" s="221">
        <f t="shared" si="254"/>
        <v>0.99199999999999999</v>
      </c>
      <c r="J172" s="551">
        <f t="shared" si="186"/>
        <v>12</v>
      </c>
      <c r="K172" s="451">
        <f t="shared" si="187"/>
        <v>19.584</v>
      </c>
      <c r="L172" s="451">
        <f t="shared" si="188"/>
        <v>31.584</v>
      </c>
      <c r="M172" s="451"/>
      <c r="N172" s="221">
        <f t="shared" si="189"/>
        <v>0.62006079027355621</v>
      </c>
      <c r="O172" s="176">
        <f t="shared" si="255"/>
        <v>3.3483282674772035</v>
      </c>
      <c r="P172" s="176">
        <f t="shared" si="256"/>
        <v>1.6741641337386017</v>
      </c>
      <c r="Q172" s="221">
        <f t="shared" si="192"/>
        <v>0.20927051671732522</v>
      </c>
      <c r="R172" s="221">
        <f t="shared" si="257"/>
        <v>0.20927051671732522</v>
      </c>
      <c r="S172" s="221">
        <f t="shared" si="258"/>
        <v>16</v>
      </c>
      <c r="T172" s="221">
        <f t="shared" si="259"/>
        <v>0.88880174291938985</v>
      </c>
      <c r="U172" s="221">
        <f t="shared" si="196"/>
        <v>2.2220043572984745</v>
      </c>
      <c r="V172" s="221">
        <f t="shared" si="197"/>
        <v>1.3615222777564182</v>
      </c>
      <c r="W172" s="201">
        <f t="shared" si="198"/>
        <v>350</v>
      </c>
      <c r="X172" s="451">
        <f t="shared" si="199"/>
        <v>279.05471392838746</v>
      </c>
      <c r="Z172" s="221">
        <f t="shared" si="200"/>
        <v>0.70864090316977857</v>
      </c>
      <c r="AA172" s="177">
        <f t="shared" si="201"/>
        <v>1.0855405992184108</v>
      </c>
      <c r="AB172" s="177">
        <f t="shared" si="260"/>
        <v>0.1076961858920636</v>
      </c>
      <c r="AC172" s="177"/>
      <c r="AD172" s="177">
        <f t="shared" si="203"/>
        <v>0.4595588235294118</v>
      </c>
      <c r="AE172" s="555">
        <f t="shared" si="261"/>
        <v>2248.5333333333338</v>
      </c>
      <c r="AF172" s="538">
        <f t="shared" si="262"/>
        <v>1.9301470588235291E-2</v>
      </c>
      <c r="AH172" s="177">
        <f t="shared" si="263"/>
        <v>0.75289915849145617</v>
      </c>
      <c r="AI172" s="177">
        <f t="shared" si="264"/>
        <v>0.88880174291938985</v>
      </c>
      <c r="AJ172" s="177">
        <f t="shared" si="265"/>
        <v>1.6361494391995481</v>
      </c>
      <c r="AL172" s="555">
        <f t="shared" si="266"/>
        <v>124</v>
      </c>
      <c r="AM172" s="469">
        <f t="shared" si="267"/>
        <v>279.05471392838746</v>
      </c>
      <c r="AO172">
        <f t="shared" si="211"/>
        <v>124</v>
      </c>
      <c r="AP172">
        <f t="shared" si="212"/>
        <v>279.05471392838746</v>
      </c>
      <c r="AR172" s="5">
        <f t="shared" si="249"/>
        <v>3.5835266350548927</v>
      </c>
      <c r="AS172" s="5">
        <f t="shared" si="246"/>
        <v>2.2220043572984745</v>
      </c>
      <c r="AT172" s="5">
        <f t="shared" si="247"/>
        <v>1.3615222777564182</v>
      </c>
      <c r="AU172" s="177">
        <f t="shared" si="248"/>
        <v>0.62006079027355621</v>
      </c>
      <c r="AW172" s="5">
        <f t="shared" si="275"/>
        <v>1.7220533769063175</v>
      </c>
      <c r="AX172" s="5"/>
      <c r="AY172" s="5">
        <f t="shared" si="276"/>
        <v>0.86102668845315877</v>
      </c>
      <c r="AZ172" s="5"/>
      <c r="BA172" s="5">
        <f t="shared" si="277"/>
        <v>0.15632292818684801</v>
      </c>
      <c r="BB172" s="5"/>
      <c r="BC172" s="5"/>
      <c r="BD172" s="177">
        <f t="shared" si="278"/>
        <v>0.40407446347498749</v>
      </c>
      <c r="BE172" s="177">
        <f t="shared" si="279"/>
        <v>0.25304124443523612</v>
      </c>
      <c r="BF172" s="177">
        <f t="shared" si="280"/>
        <v>0.12652062221761806</v>
      </c>
      <c r="BG172" s="177"/>
      <c r="BH172" s="538">
        <f t="shared" si="281"/>
        <v>5.7146660211409649E-2</v>
      </c>
      <c r="BI172" s="538">
        <f t="shared" si="282"/>
        <v>3.9168000000000001E-2</v>
      </c>
      <c r="BJ172" s="538">
        <f t="shared" si="283"/>
        <v>3.4881839241048432E-3</v>
      </c>
      <c r="BK172" s="538">
        <f t="shared" si="284"/>
        <v>1.3918538322580649E-2</v>
      </c>
      <c r="BL172">
        <f t="shared" si="285"/>
        <v>3.48E-3</v>
      </c>
      <c r="BM172">
        <f t="shared" si="268"/>
        <v>4.8834574937467804E-6</v>
      </c>
      <c r="BN172">
        <f t="shared" si="269"/>
        <v>0.12625221267321626</v>
      </c>
      <c r="BO172" s="469">
        <f t="shared" si="286"/>
        <v>117.20138245809514</v>
      </c>
      <c r="BP172" s="177">
        <f t="shared" si="287"/>
        <v>4.9600000000000005E-2</v>
      </c>
      <c r="BQ172" s="177">
        <f t="shared" si="288"/>
        <v>2.4800000000000003E-2</v>
      </c>
      <c r="BR172" s="538"/>
      <c r="BT172" s="469">
        <f t="shared" si="289"/>
        <v>74.400000000000006</v>
      </c>
      <c r="BU172" s="538">
        <f t="shared" si="290"/>
        <v>1.6327617203259901E-2</v>
      </c>
      <c r="BV172" s="538">
        <f t="shared" si="291"/>
        <v>1.9208961415599875E-3</v>
      </c>
      <c r="BW172" s="538">
        <f t="shared" si="292"/>
        <v>8.0037339231666153E-4</v>
      </c>
      <c r="BX172" s="538">
        <f t="shared" si="293"/>
        <v>0</v>
      </c>
      <c r="BY172" s="538">
        <f t="shared" si="274"/>
        <v>2.1367315030704669E-2</v>
      </c>
      <c r="BZ172" s="538">
        <f t="shared" si="250"/>
        <v>1.9048886737136551E-2</v>
      </c>
      <c r="CA172" s="641">
        <f t="shared" si="270"/>
        <v>1.102222222222222E-2</v>
      </c>
      <c r="CB172" s="469">
        <f t="shared" si="294"/>
        <v>70.487310727199997</v>
      </c>
      <c r="CC172" s="177">
        <f t="shared" si="251"/>
        <v>0.23304174992614313</v>
      </c>
      <c r="CD172" s="5">
        <f t="shared" si="295"/>
        <v>2.976</v>
      </c>
      <c r="CE172" s="177">
        <f t="shared" si="296"/>
        <v>0.92737964536251161</v>
      </c>
      <c r="CF172" s="5">
        <f t="shared" si="297"/>
        <v>92.737964536251155</v>
      </c>
      <c r="CG172">
        <f t="shared" si="298"/>
        <v>62</v>
      </c>
      <c r="CI172" s="571">
        <f t="shared" si="271"/>
        <v>-50</v>
      </c>
      <c r="CJ172">
        <f t="shared" si="272"/>
        <v>-50</v>
      </c>
    </row>
    <row r="173" spans="5:88" x14ac:dyDescent="0.25">
      <c r="E173" s="174">
        <v>63</v>
      </c>
      <c r="F173" s="221">
        <f t="shared" si="273"/>
        <v>0.126</v>
      </c>
      <c r="G173" s="221">
        <f t="shared" si="252"/>
        <v>6.3E-2</v>
      </c>
      <c r="H173" s="221">
        <f t="shared" si="253"/>
        <v>2.016</v>
      </c>
      <c r="I173" s="221">
        <f t="shared" si="254"/>
        <v>1.008</v>
      </c>
      <c r="J173" s="551">
        <f t="shared" si="186"/>
        <v>12</v>
      </c>
      <c r="K173" s="451">
        <f t="shared" si="187"/>
        <v>19.584</v>
      </c>
      <c r="L173" s="451">
        <f t="shared" si="188"/>
        <v>31.584</v>
      </c>
      <c r="M173" s="451"/>
      <c r="N173" s="221">
        <f t="shared" si="189"/>
        <v>0.62006079027355621</v>
      </c>
      <c r="O173" s="176">
        <f t="shared" si="255"/>
        <v>3.3483282674772035</v>
      </c>
      <c r="P173" s="176">
        <f t="shared" si="256"/>
        <v>1.6741641337386017</v>
      </c>
      <c r="Q173" s="221">
        <f t="shared" si="192"/>
        <v>0.20927051671732522</v>
      </c>
      <c r="R173" s="221">
        <f t="shared" si="257"/>
        <v>0.20927051671732522</v>
      </c>
      <c r="S173" s="221">
        <f t="shared" si="258"/>
        <v>16</v>
      </c>
      <c r="T173" s="221">
        <f t="shared" si="259"/>
        <v>0.90313725490196073</v>
      </c>
      <c r="U173" s="221">
        <f t="shared" si="196"/>
        <v>2.2578431372549019</v>
      </c>
      <c r="V173" s="221">
        <f t="shared" si="197"/>
        <v>1.3834823144944253</v>
      </c>
      <c r="W173" s="201">
        <f t="shared" si="198"/>
        <v>350</v>
      </c>
      <c r="X173" s="451">
        <f t="shared" si="199"/>
        <v>274.62527402476223</v>
      </c>
      <c r="Z173" s="221">
        <f t="shared" si="200"/>
        <v>0.70864090316977857</v>
      </c>
      <c r="AA173" s="177">
        <f t="shared" si="201"/>
        <v>1.0855405992184108</v>
      </c>
      <c r="AB173" s="177">
        <f t="shared" si="260"/>
        <v>0.1076961858920636</v>
      </c>
      <c r="AC173" s="177"/>
      <c r="AD173" s="177">
        <f t="shared" si="203"/>
        <v>0.4595588235294118</v>
      </c>
      <c r="AE173" s="555">
        <f t="shared" si="261"/>
        <v>2284.8000000000006</v>
      </c>
      <c r="AF173" s="538">
        <f t="shared" si="262"/>
        <v>1.9301470588235291E-2</v>
      </c>
      <c r="AH173" s="177">
        <f t="shared" si="263"/>
        <v>0.75894663844041099</v>
      </c>
      <c r="AI173" s="177">
        <f t="shared" si="264"/>
        <v>0.90313725490196073</v>
      </c>
      <c r="AJ173" s="177">
        <f t="shared" si="265"/>
        <v>1.6467683369644153</v>
      </c>
      <c r="AL173" s="555">
        <f t="shared" si="266"/>
        <v>126</v>
      </c>
      <c r="AM173" s="469">
        <f t="shared" si="267"/>
        <v>274.62527402476223</v>
      </c>
      <c r="AO173">
        <f t="shared" si="211"/>
        <v>126</v>
      </c>
      <c r="AP173">
        <f t="shared" si="212"/>
        <v>274.62527402476223</v>
      </c>
      <c r="AR173" s="5">
        <f t="shared" si="249"/>
        <v>3.6413254517493265</v>
      </c>
      <c r="AS173" s="5">
        <f t="shared" si="246"/>
        <v>2.2578431372549019</v>
      </c>
      <c r="AT173" s="5">
        <f t="shared" si="247"/>
        <v>1.3834823144944246</v>
      </c>
      <c r="AU173" s="177">
        <f t="shared" si="248"/>
        <v>0.62006079027355632</v>
      </c>
      <c r="AW173" s="5">
        <f t="shared" si="275"/>
        <v>1.7780514705882353</v>
      </c>
      <c r="AX173" s="5"/>
      <c r="AY173" s="5">
        <f t="shared" si="276"/>
        <v>0.88902573529411766</v>
      </c>
      <c r="AZ173" s="5"/>
      <c r="BA173" s="5">
        <f t="shared" si="277"/>
        <v>0.16140627002434951</v>
      </c>
      <c r="BB173" s="5"/>
      <c r="BC173" s="5"/>
      <c r="BD173" s="177">
        <f t="shared" si="278"/>
        <v>0.4105917935310357</v>
      </c>
      <c r="BE173" s="177">
        <f t="shared" si="279"/>
        <v>0.25712255482935287</v>
      </c>
      <c r="BF173" s="177">
        <f t="shared" si="280"/>
        <v>0.12856127741467643</v>
      </c>
      <c r="BG173" s="177"/>
      <c r="BH173" s="538">
        <f t="shared" si="281"/>
        <v>5.9004967320261427E-2</v>
      </c>
      <c r="BI173" s="538">
        <f t="shared" si="282"/>
        <v>3.9168000000000001E-2</v>
      </c>
      <c r="BJ173" s="538">
        <f t="shared" si="283"/>
        <v>3.4328159253095279E-3</v>
      </c>
      <c r="BK173" s="538">
        <f t="shared" si="284"/>
        <v>1.3697609142857146E-2</v>
      </c>
      <c r="BL173">
        <f t="shared" si="285"/>
        <v>3.48E-3</v>
      </c>
      <c r="BM173">
        <f t="shared" si="268"/>
        <v>4.8059422954333393E-6</v>
      </c>
      <c r="BN173">
        <f t="shared" si="269"/>
        <v>0.12814895177828659</v>
      </c>
      <c r="BO173" s="469">
        <f t="shared" si="286"/>
        <v>118.7833923884281</v>
      </c>
      <c r="BP173" s="177">
        <f t="shared" si="287"/>
        <v>5.04E-2</v>
      </c>
      <c r="BQ173" s="177">
        <f t="shared" si="288"/>
        <v>2.52E-2</v>
      </c>
      <c r="BR173" s="538"/>
      <c r="BT173" s="469">
        <f t="shared" si="289"/>
        <v>75.599999999999994</v>
      </c>
      <c r="BU173" s="538">
        <f t="shared" si="290"/>
        <v>1.6858562091503267E-2</v>
      </c>
      <c r="BV173" s="538">
        <f t="shared" si="291"/>
        <v>1.9833602460592073E-3</v>
      </c>
      <c r="BW173" s="538">
        <f t="shared" si="292"/>
        <v>8.2640010252466977E-4</v>
      </c>
      <c r="BX173" s="538">
        <f t="shared" si="293"/>
        <v>0</v>
      </c>
      <c r="BY173" s="538">
        <f t="shared" si="274"/>
        <v>2.2063236881462136E-2</v>
      </c>
      <c r="BZ173" s="538">
        <f t="shared" si="250"/>
        <v>1.9668322440087146E-2</v>
      </c>
      <c r="CA173" s="641">
        <f t="shared" si="270"/>
        <v>1.1200000000000002E-2</v>
      </c>
      <c r="CB173" s="469">
        <f t="shared" si="294"/>
        <v>72.599881761636425</v>
      </c>
      <c r="CC173" s="177">
        <f t="shared" si="251"/>
        <v>0.23701218865974871</v>
      </c>
      <c r="CD173" s="5">
        <f t="shared" si="295"/>
        <v>3.024</v>
      </c>
      <c r="CE173" s="177">
        <f t="shared" si="296"/>
        <v>0.92731944103614072</v>
      </c>
      <c r="CF173" s="5">
        <f t="shared" si="297"/>
        <v>92.731944103614069</v>
      </c>
      <c r="CG173">
        <f t="shared" si="298"/>
        <v>63</v>
      </c>
      <c r="CI173" s="571">
        <f t="shared" si="271"/>
        <v>-50</v>
      </c>
      <c r="CJ173">
        <f t="shared" si="272"/>
        <v>-50</v>
      </c>
    </row>
    <row r="174" spans="5:88" x14ac:dyDescent="0.25">
      <c r="E174" s="174">
        <v>64</v>
      </c>
      <c r="F174" s="221">
        <f t="shared" si="273"/>
        <v>0.128</v>
      </c>
      <c r="G174" s="221">
        <f t="shared" ref="G174:G210" si="299">IF(PLOT_TYPE=1, E174/100*Iout2, min_I*EXP(Q174*rr/100))</f>
        <v>6.4000000000000001E-2</v>
      </c>
      <c r="H174" s="221">
        <f t="shared" ref="H174:H210" si="300">F174*Vout</f>
        <v>2.048</v>
      </c>
      <c r="I174" s="221">
        <f t="shared" ref="I174:I210" si="301">Vout2*G174</f>
        <v>1.024</v>
      </c>
      <c r="J174" s="551">
        <f t="shared" ref="J174:J210" si="302">VIN_min</f>
        <v>12</v>
      </c>
      <c r="K174" s="451">
        <f t="shared" ref="K174:K210" si="303">(S174+Vfwd1)*Nps</f>
        <v>19.584</v>
      </c>
      <c r="L174" s="451">
        <f t="shared" ref="L174:L210" si="304">(Vout+Vfwd1)*Nps+J174</f>
        <v>31.584</v>
      </c>
      <c r="M174" s="451"/>
      <c r="N174" s="221">
        <f t="shared" ref="N174:N210" si="305">(Vout+Vfwd1)*Nps/((Vout+Vfwd1)*Nps+J174)</f>
        <v>0.62006079027355621</v>
      </c>
      <c r="O174" s="176">
        <f t="shared" ref="O174:O205" si="306">N174*J174*Isw_max*0.5*Efficiency*Pout/(Pout+Pout2)</f>
        <v>3.3483282674772035</v>
      </c>
      <c r="P174" s="176">
        <f t="shared" ref="P174:P210" si="307">N174*J174*Isw_max*0.5*Efficiency*(Pout2/Pout_total)</f>
        <v>1.6741641337386017</v>
      </c>
      <c r="Q174" s="221">
        <f t="shared" ref="Q174:Q210" si="308">O174/Vout</f>
        <v>0.20927051671732522</v>
      </c>
      <c r="R174" s="221">
        <f t="shared" ref="R174:R210" si="309">O174/Vout2</f>
        <v>0.20927051671732522</v>
      </c>
      <c r="S174" s="221">
        <f t="shared" ref="S174:S210" si="310">MIN(Vout,O174/F174)</f>
        <v>16</v>
      </c>
      <c r="T174" s="221">
        <f t="shared" ref="T174:T210" si="311">MIN(2*(Vout*F174+Vout2*G174)/(Efficiency*J174*N174), Isw_max)</f>
        <v>0.9174727668845315</v>
      </c>
      <c r="U174" s="221">
        <f t="shared" ref="U174:U210" si="312">L*T174/J174*1000000</f>
        <v>2.293681917211329</v>
      </c>
      <c r="V174" s="221">
        <f t="shared" ref="V174:V210" si="313">L*T174/K174*1000000</f>
        <v>1.4054423512324319</v>
      </c>
      <c r="W174" s="201">
        <f t="shared" ref="W174:W210" si="314">IF(1/((350000*L)*(1/J174+1/K174))&gt;Isw_min, 350, 0.001/((Isw_min*L)*(1/J174+1/K174)))</f>
        <v>350</v>
      </c>
      <c r="X174" s="451">
        <f t="shared" ref="X174:X210" si="315">MIN(1/(U174+V174)*1000, 350)</f>
        <v>270.33425411812527</v>
      </c>
      <c r="Z174" s="221">
        <f t="shared" ref="Z174:Z210" si="316">1/((W174*1000*L)*(1/J174+1/K174))</f>
        <v>0.70864090316977857</v>
      </c>
      <c r="AA174" s="177">
        <f t="shared" ref="AA174:AA210" si="317">L*Z174/K174*1000000</f>
        <v>1.0855405992184108</v>
      </c>
      <c r="AB174" s="177">
        <f t="shared" ref="AB174:AB205" si="318">0.5*AA174*Z174*Nps*W174/1000*(Pout/(Pout+Pout2))</f>
        <v>0.1076961858920636</v>
      </c>
      <c r="AC174" s="177"/>
      <c r="AD174" s="177">
        <f t="shared" ref="AD174:AD210" si="319">L*Isw_min/K174*1000000</f>
        <v>0.4595588235294118</v>
      </c>
      <c r="AE174" s="555">
        <f t="shared" ref="AE174:AE205" si="320">MAX(10, F174/(0.5*AD174/1000000*Isw_min*Nps)/1000*Pout_total/Pout)</f>
        <v>2321.0666666666671</v>
      </c>
      <c r="AF174" s="538">
        <f t="shared" ref="AF174:AF210" si="321">0.5*AD174/1000000*Isw_min*Nps*W174*1000*(Pout/Pout_total)</f>
        <v>1.9301470588235291E-2</v>
      </c>
      <c r="AH174" s="177">
        <f t="shared" ref="AH174:AH210" si="322">SQRT((H174+I174)/(0.5*L*Fsw_DCM))</f>
        <v>0.76494630997401192</v>
      </c>
      <c r="AI174" s="177">
        <f t="shared" ref="AI174:AI205" si="323">MAX(IF(F174&gt;AB174,T174,AH174),Isw_min)</f>
        <v>0.9174727668845315</v>
      </c>
      <c r="AJ174" s="177">
        <f t="shared" ref="AJ174:AJ205" si="324">IF(F174&gt;AF174, (AI174-Isw_min)/1.08*0.8+1.2, AE174*0.2/350+1)</f>
        <v>1.6573872347292826</v>
      </c>
      <c r="AL174" s="555">
        <f t="shared" ref="AL174:AL210" si="325">F174*1000</f>
        <v>128</v>
      </c>
      <c r="AM174" s="469">
        <f t="shared" ref="AM174:AM210" si="326">IF(F174&gt;AF174, X174, AE174)</f>
        <v>270.33425411812527</v>
      </c>
      <c r="AO174">
        <f t="shared" ref="AO174:AO210" si="327">IF(H174&gt;O174, "",AL174)</f>
        <v>128</v>
      </c>
      <c r="AP174">
        <f t="shared" ref="AP174:AP210" si="328">IF(H174&gt;O174, "",AM174)</f>
        <v>270.33425411812527</v>
      </c>
      <c r="AR174" s="5">
        <f t="shared" si="249"/>
        <v>3.6991242684437613</v>
      </c>
      <c r="AS174" s="5">
        <f t="shared" si="246"/>
        <v>2.293681917211329</v>
      </c>
      <c r="AT174" s="5">
        <f t="shared" si="247"/>
        <v>1.4054423512324323</v>
      </c>
      <c r="AU174" s="177">
        <f t="shared" si="248"/>
        <v>0.62006079027355621</v>
      </c>
      <c r="AW174" s="5">
        <f t="shared" si="275"/>
        <v>1.8349455337690634</v>
      </c>
      <c r="AX174" s="5"/>
      <c r="AY174" s="5">
        <f t="shared" si="276"/>
        <v>0.91747276688453172</v>
      </c>
      <c r="AZ174" s="5"/>
      <c r="BA174" s="5">
        <f t="shared" si="277"/>
        <v>0.16657094533125125</v>
      </c>
      <c r="BB174" s="5"/>
      <c r="BC174" s="5"/>
      <c r="BD174" s="177">
        <f t="shared" si="278"/>
        <v>0.41710912358708391</v>
      </c>
      <c r="BE174" s="177">
        <f t="shared" si="279"/>
        <v>0.26120386522346961</v>
      </c>
      <c r="BF174" s="177">
        <f t="shared" si="280"/>
        <v>0.13060193261173481</v>
      </c>
      <c r="BG174" s="177"/>
      <c r="BH174" s="538">
        <f t="shared" si="281"/>
        <v>6.0893007342854827E-2</v>
      </c>
      <c r="BI174" s="538">
        <f t="shared" si="282"/>
        <v>3.9167999999999994E-2</v>
      </c>
      <c r="BJ174" s="538">
        <f t="shared" si="283"/>
        <v>3.379178176476566E-3</v>
      </c>
      <c r="BK174" s="538">
        <f t="shared" si="284"/>
        <v>1.3483584E-2</v>
      </c>
      <c r="BL174">
        <f t="shared" si="285"/>
        <v>3.48E-3</v>
      </c>
      <c r="BM174">
        <f t="shared" ref="BM174:BM210" si="329">(J174-Vdd)*Qg*AM174</f>
        <v>4.7308494470671926E-6</v>
      </c>
      <c r="BN174">
        <f t="shared" ref="BN174:BN205" si="330">(BI174+BJ174+BK174+BL174+BM174+BH174*(1+RdsonTC*(Ta-25)))/(1-BH174*RdsonTC*ThetaJA)</f>
        <v>0.13009059293100664</v>
      </c>
      <c r="BO174" s="469">
        <f t="shared" si="286"/>
        <v>120.40376951933139</v>
      </c>
      <c r="BP174" s="177">
        <f t="shared" si="287"/>
        <v>5.1200000000000002E-2</v>
      </c>
      <c r="BQ174" s="177">
        <f t="shared" si="288"/>
        <v>2.5600000000000001E-2</v>
      </c>
      <c r="BR174" s="538"/>
      <c r="BT174" s="469">
        <f t="shared" si="289"/>
        <v>76.800000000000011</v>
      </c>
      <c r="BU174" s="538">
        <f t="shared" si="290"/>
        <v>1.7398002097958522E-2</v>
      </c>
      <c r="BV174" s="538">
        <f t="shared" si="291"/>
        <v>2.0468237762304143E-3</v>
      </c>
      <c r="BW174" s="538">
        <f t="shared" si="292"/>
        <v>8.5284324009600595E-4</v>
      </c>
      <c r="BX174" s="538">
        <f t="shared" si="293"/>
        <v>0</v>
      </c>
      <c r="BY174" s="538">
        <f t="shared" si="274"/>
        <v>2.2770364233505008E-2</v>
      </c>
      <c r="BZ174" s="538">
        <f t="shared" si="250"/>
        <v>2.029766911428494E-2</v>
      </c>
      <c r="CA174" s="641">
        <f t="shared" ref="CA174:CA210" si="331">0.5*Lleak*0.000000001*AI174^2*AM174*1000</f>
        <v>1.1377777777777773E-2</v>
      </c>
      <c r="CB174" s="469">
        <f t="shared" si="294"/>
        <v>74.743480239852673</v>
      </c>
      <c r="CC174" s="177">
        <f t="shared" si="251"/>
        <v>0.24103873494228942</v>
      </c>
      <c r="CD174" s="5">
        <f t="shared" si="295"/>
        <v>3.0720000000000001</v>
      </c>
      <c r="CE174" s="177">
        <f t="shared" si="296"/>
        <v>0.92724542203504057</v>
      </c>
      <c r="CF174" s="5">
        <f t="shared" si="297"/>
        <v>92.724542203504058</v>
      </c>
      <c r="CG174">
        <f t="shared" si="298"/>
        <v>64</v>
      </c>
      <c r="CI174" s="571">
        <f t="shared" ref="CI174:CI210" si="332">IF(ABS(F174-Ioutmax_Vinmin)&lt;Iout/200, AM174, -50)</f>
        <v>-50</v>
      </c>
      <c r="CJ174">
        <f t="shared" ref="CJ174:CJ210" si="333">IF(ABS(F174-Ioutmax_Vinmin)&lt;Iout/200, (O174+P174)*CE174, -50)</f>
        <v>-50</v>
      </c>
    </row>
    <row r="175" spans="5:88" x14ac:dyDescent="0.25">
      <c r="E175" s="174">
        <v>65</v>
      </c>
      <c r="F175" s="221">
        <f t="shared" ref="F175:F206" si="334">IF(PLOT_TYPE=1, E175/100*Iout_max, min_I*EXP(O175*rr/100))</f>
        <v>0.13</v>
      </c>
      <c r="G175" s="221">
        <f t="shared" si="299"/>
        <v>6.5000000000000002E-2</v>
      </c>
      <c r="H175" s="221">
        <f t="shared" si="300"/>
        <v>2.08</v>
      </c>
      <c r="I175" s="221">
        <f t="shared" si="301"/>
        <v>1.04</v>
      </c>
      <c r="J175" s="551">
        <f t="shared" si="302"/>
        <v>12</v>
      </c>
      <c r="K175" s="451">
        <f t="shared" si="303"/>
        <v>19.584</v>
      </c>
      <c r="L175" s="451">
        <f t="shared" si="304"/>
        <v>31.584</v>
      </c>
      <c r="M175" s="451"/>
      <c r="N175" s="221">
        <f t="shared" si="305"/>
        <v>0.62006079027355621</v>
      </c>
      <c r="O175" s="176">
        <f t="shared" si="306"/>
        <v>3.3483282674772035</v>
      </c>
      <c r="P175" s="176">
        <f t="shared" si="307"/>
        <v>1.6741641337386017</v>
      </c>
      <c r="Q175" s="221">
        <f t="shared" si="308"/>
        <v>0.20927051671732522</v>
      </c>
      <c r="R175" s="221">
        <f t="shared" si="309"/>
        <v>0.20927051671732522</v>
      </c>
      <c r="S175" s="221">
        <f t="shared" si="310"/>
        <v>16</v>
      </c>
      <c r="T175" s="221">
        <f t="shared" si="311"/>
        <v>0.93180827886710238</v>
      </c>
      <c r="U175" s="221">
        <f t="shared" si="312"/>
        <v>2.329520697167756</v>
      </c>
      <c r="V175" s="221">
        <f t="shared" si="313"/>
        <v>1.4274023879704387</v>
      </c>
      <c r="W175" s="201">
        <f t="shared" si="314"/>
        <v>350</v>
      </c>
      <c r="X175" s="451">
        <f t="shared" si="315"/>
        <v>266.17526559323107</v>
      </c>
      <c r="Z175" s="221">
        <f t="shared" si="316"/>
        <v>0.70864090316977857</v>
      </c>
      <c r="AA175" s="177">
        <f t="shared" si="317"/>
        <v>1.0855405992184108</v>
      </c>
      <c r="AB175" s="177">
        <f t="shared" si="318"/>
        <v>0.1076961858920636</v>
      </c>
      <c r="AC175" s="177"/>
      <c r="AD175" s="177">
        <f t="shared" si="319"/>
        <v>0.4595588235294118</v>
      </c>
      <c r="AE175" s="555">
        <f t="shared" si="320"/>
        <v>2357.3333333333335</v>
      </c>
      <c r="AF175" s="538">
        <f t="shared" si="321"/>
        <v>1.9301470588235291E-2</v>
      </c>
      <c r="AH175" s="177">
        <f t="shared" si="322"/>
        <v>0.77089928932754526</v>
      </c>
      <c r="AI175" s="177">
        <f t="shared" si="323"/>
        <v>0.93180827886710238</v>
      </c>
      <c r="AJ175" s="177">
        <f t="shared" si="324"/>
        <v>1.66800613249415</v>
      </c>
      <c r="AL175" s="555">
        <f t="shared" si="325"/>
        <v>130</v>
      </c>
      <c r="AM175" s="469">
        <f t="shared" si="326"/>
        <v>266.17526559323107</v>
      </c>
      <c r="AO175">
        <f t="shared" si="327"/>
        <v>130</v>
      </c>
      <c r="AP175">
        <f t="shared" si="328"/>
        <v>266.17526559323107</v>
      </c>
      <c r="AR175" s="5">
        <f t="shared" si="249"/>
        <v>3.7569230851381943</v>
      </c>
      <c r="AS175" s="5">
        <f t="shared" si="246"/>
        <v>2.329520697167756</v>
      </c>
      <c r="AT175" s="5">
        <f t="shared" si="247"/>
        <v>1.4274023879704383</v>
      </c>
      <c r="AU175" s="177">
        <f t="shared" si="248"/>
        <v>0.62006079027355632</v>
      </c>
      <c r="AW175" s="5">
        <f t="shared" si="275"/>
        <v>1.8927355664488017</v>
      </c>
      <c r="AX175" s="5"/>
      <c r="AY175" s="5">
        <f t="shared" si="276"/>
        <v>0.94636778322440085</v>
      </c>
      <c r="AZ175" s="5"/>
      <c r="BA175" s="5">
        <f t="shared" si="277"/>
        <v>0.17181695410755277</v>
      </c>
      <c r="BB175" s="5"/>
      <c r="BC175" s="5"/>
      <c r="BD175" s="177">
        <f t="shared" si="278"/>
        <v>0.42362645364313212</v>
      </c>
      <c r="BE175" s="177">
        <f t="shared" si="279"/>
        <v>0.2652851756175863</v>
      </c>
      <c r="BF175" s="177">
        <f t="shared" si="280"/>
        <v>0.13264258780879315</v>
      </c>
      <c r="BG175" s="177"/>
      <c r="BH175" s="538">
        <f t="shared" si="281"/>
        <v>6.2810780279189862E-2</v>
      </c>
      <c r="BI175" s="538">
        <f t="shared" si="282"/>
        <v>3.9168000000000001E-2</v>
      </c>
      <c r="BJ175" s="538">
        <f t="shared" si="283"/>
        <v>3.3271908199153885E-3</v>
      </c>
      <c r="BK175" s="538">
        <f t="shared" si="284"/>
        <v>1.3276144246153847E-2</v>
      </c>
      <c r="BL175">
        <f t="shared" si="285"/>
        <v>3.48E-3</v>
      </c>
      <c r="BM175">
        <f t="shared" si="329"/>
        <v>4.6580671478815443E-6</v>
      </c>
      <c r="BN175">
        <f t="shared" si="330"/>
        <v>0.13207681264316568</v>
      </c>
      <c r="BO175" s="469">
        <f t="shared" si="286"/>
        <v>122.0621153452591</v>
      </c>
      <c r="BP175" s="177">
        <f t="shared" si="287"/>
        <v>5.2000000000000005E-2</v>
      </c>
      <c r="BQ175" s="177">
        <f t="shared" si="288"/>
        <v>2.6000000000000002E-2</v>
      </c>
      <c r="BR175" s="538"/>
      <c r="BT175" s="469">
        <f t="shared" si="289"/>
        <v>78.000000000000014</v>
      </c>
      <c r="BU175" s="538">
        <f t="shared" si="290"/>
        <v>1.7945937222625677E-2</v>
      </c>
      <c r="BV175" s="538">
        <f t="shared" si="291"/>
        <v>2.1112867320736079E-3</v>
      </c>
      <c r="BW175" s="538">
        <f t="shared" si="292"/>
        <v>8.7970280503067006E-4</v>
      </c>
      <c r="BX175" s="538">
        <f t="shared" si="293"/>
        <v>0</v>
      </c>
      <c r="BY175" s="538">
        <f t="shared" si="274"/>
        <v>2.3488700467006268E-2</v>
      </c>
      <c r="BZ175" s="538">
        <f t="shared" si="250"/>
        <v>2.0936926759729954E-2</v>
      </c>
      <c r="CA175" s="641">
        <f t="shared" si="331"/>
        <v>1.1555555555555558E-2</v>
      </c>
      <c r="CB175" s="469">
        <f t="shared" si="294"/>
        <v>76.918109542021725</v>
      </c>
      <c r="CC175" s="177">
        <f t="shared" si="251"/>
        <v>0.2451210686657275</v>
      </c>
      <c r="CD175" s="5">
        <f t="shared" si="295"/>
        <v>3.12</v>
      </c>
      <c r="CE175" s="177">
        <f t="shared" si="296"/>
        <v>0.92715832100420736</v>
      </c>
      <c r="CF175" s="5">
        <f t="shared" si="297"/>
        <v>92.715832100420741</v>
      </c>
      <c r="CG175">
        <f t="shared" si="298"/>
        <v>65</v>
      </c>
      <c r="CI175" s="571">
        <f t="shared" si="332"/>
        <v>-50</v>
      </c>
      <c r="CJ175">
        <f t="shared" si="333"/>
        <v>-50</v>
      </c>
    </row>
    <row r="176" spans="5:88" x14ac:dyDescent="0.25">
      <c r="E176" s="174">
        <v>66</v>
      </c>
      <c r="F176" s="221">
        <f t="shared" si="334"/>
        <v>0.13200000000000001</v>
      </c>
      <c r="G176" s="221">
        <f t="shared" si="299"/>
        <v>6.6000000000000003E-2</v>
      </c>
      <c r="H176" s="221">
        <f t="shared" si="300"/>
        <v>2.1120000000000001</v>
      </c>
      <c r="I176" s="221">
        <f t="shared" si="301"/>
        <v>1.056</v>
      </c>
      <c r="J176" s="551">
        <f t="shared" si="302"/>
        <v>12</v>
      </c>
      <c r="K176" s="451">
        <f t="shared" si="303"/>
        <v>19.584</v>
      </c>
      <c r="L176" s="451">
        <f t="shared" si="304"/>
        <v>31.584</v>
      </c>
      <c r="M176" s="451"/>
      <c r="N176" s="221">
        <f t="shared" si="305"/>
        <v>0.62006079027355621</v>
      </c>
      <c r="O176" s="176">
        <f t="shared" si="306"/>
        <v>3.3483282674772035</v>
      </c>
      <c r="P176" s="176">
        <f t="shared" si="307"/>
        <v>1.6741641337386017</v>
      </c>
      <c r="Q176" s="221">
        <f t="shared" si="308"/>
        <v>0.20927051671732522</v>
      </c>
      <c r="R176" s="221">
        <f t="shared" si="309"/>
        <v>0.20927051671732522</v>
      </c>
      <c r="S176" s="221">
        <f t="shared" si="310"/>
        <v>16</v>
      </c>
      <c r="T176" s="221">
        <f t="shared" si="311"/>
        <v>0.94614379084967315</v>
      </c>
      <c r="U176" s="221">
        <f t="shared" si="312"/>
        <v>2.3653594771241826</v>
      </c>
      <c r="V176" s="221">
        <f t="shared" si="313"/>
        <v>1.4493624247084453</v>
      </c>
      <c r="W176" s="201">
        <f t="shared" si="314"/>
        <v>350</v>
      </c>
      <c r="X176" s="451">
        <f t="shared" si="315"/>
        <v>262.1423070236367</v>
      </c>
      <c r="Z176" s="221">
        <f t="shared" si="316"/>
        <v>0.70864090316977857</v>
      </c>
      <c r="AA176" s="177">
        <f t="shared" si="317"/>
        <v>1.0855405992184108</v>
      </c>
      <c r="AB176" s="177">
        <f t="shared" si="318"/>
        <v>0.1076961858920636</v>
      </c>
      <c r="AC176" s="177"/>
      <c r="AD176" s="177">
        <f t="shared" si="319"/>
        <v>0.4595588235294118</v>
      </c>
      <c r="AE176" s="555">
        <f t="shared" si="320"/>
        <v>2393.6000000000004</v>
      </c>
      <c r="AF176" s="538">
        <f t="shared" si="321"/>
        <v>1.9301470588235291E-2</v>
      </c>
      <c r="AH176" s="177">
        <f t="shared" si="322"/>
        <v>0.77680664996417959</v>
      </c>
      <c r="AI176" s="177">
        <f t="shared" si="323"/>
        <v>0.94614379084967315</v>
      </c>
      <c r="AJ176" s="177">
        <f t="shared" si="324"/>
        <v>1.6786250302590171</v>
      </c>
      <c r="AL176" s="555">
        <f t="shared" si="325"/>
        <v>132</v>
      </c>
      <c r="AM176" s="469">
        <f t="shared" si="326"/>
        <v>262.1423070236367</v>
      </c>
      <c r="AO176">
        <f t="shared" si="327"/>
        <v>132</v>
      </c>
      <c r="AP176">
        <f t="shared" si="328"/>
        <v>262.1423070236367</v>
      </c>
      <c r="AR176" s="5">
        <f t="shared" si="249"/>
        <v>3.8147219018326277</v>
      </c>
      <c r="AS176" s="5">
        <f t="shared" si="246"/>
        <v>2.3653594771241826</v>
      </c>
      <c r="AT176" s="5">
        <f t="shared" si="247"/>
        <v>1.4493624247084451</v>
      </c>
      <c r="AU176" s="177">
        <f t="shared" si="248"/>
        <v>0.62006079027355621</v>
      </c>
      <c r="AW176" s="5">
        <f t="shared" si="275"/>
        <v>1.9514215686274508</v>
      </c>
      <c r="AX176" s="5"/>
      <c r="AY176" s="5">
        <f t="shared" si="276"/>
        <v>0.97571078431372538</v>
      </c>
      <c r="AZ176" s="5"/>
      <c r="BA176" s="5">
        <f t="shared" si="277"/>
        <v>0.1771442963532544</v>
      </c>
      <c r="BB176" s="5"/>
      <c r="BC176" s="5"/>
      <c r="BD176" s="177">
        <f t="shared" si="278"/>
        <v>0.43014378369918027</v>
      </c>
      <c r="BE176" s="177">
        <f t="shared" si="279"/>
        <v>0.26936648601170304</v>
      </c>
      <c r="BF176" s="177">
        <f t="shared" si="280"/>
        <v>0.13468324300585152</v>
      </c>
      <c r="BG176" s="177"/>
      <c r="BH176" s="538">
        <f t="shared" si="281"/>
        <v>6.4758286129266512E-2</v>
      </c>
      <c r="BI176" s="538">
        <f t="shared" si="282"/>
        <v>3.9168000000000008E-2</v>
      </c>
      <c r="BJ176" s="538">
        <f t="shared" si="283"/>
        <v>3.2767788377954586E-3</v>
      </c>
      <c r="BK176" s="538">
        <f t="shared" si="284"/>
        <v>1.3074990545454549E-2</v>
      </c>
      <c r="BL176">
        <f t="shared" si="285"/>
        <v>3.48E-3</v>
      </c>
      <c r="BM176">
        <f t="shared" si="329"/>
        <v>4.5874903729136427E-6</v>
      </c>
      <c r="BN176">
        <f t="shared" si="330"/>
        <v>0.13410731290254946</v>
      </c>
      <c r="BO176" s="469">
        <f t="shared" si="286"/>
        <v>123.75805551251652</v>
      </c>
      <c r="BP176" s="177">
        <f t="shared" si="287"/>
        <v>5.2800000000000007E-2</v>
      </c>
      <c r="BQ176" s="177">
        <f t="shared" si="288"/>
        <v>2.6400000000000003E-2</v>
      </c>
      <c r="BR176" s="538"/>
      <c r="BT176" s="469">
        <f t="shared" si="289"/>
        <v>79.2</v>
      </c>
      <c r="BU176" s="538">
        <f t="shared" si="290"/>
        <v>1.850236746550472E-2</v>
      </c>
      <c r="BV176" s="538">
        <f t="shared" si="291"/>
        <v>2.1767491135887902E-3</v>
      </c>
      <c r="BW176" s="538">
        <f t="shared" si="292"/>
        <v>9.0697879732866264E-4</v>
      </c>
      <c r="BX176" s="538">
        <f t="shared" si="293"/>
        <v>0</v>
      </c>
      <c r="BY176" s="538">
        <f t="shared" si="274"/>
        <v>2.4218249016241998E-2</v>
      </c>
      <c r="BZ176" s="538">
        <f t="shared" si="250"/>
        <v>2.1586095376422174E-2</v>
      </c>
      <c r="CA176" s="641">
        <f t="shared" si="331"/>
        <v>1.1733333333333335E-2</v>
      </c>
      <c r="CB176" s="469">
        <f t="shared" si="294"/>
        <v>79.123773102419676</v>
      </c>
      <c r="CC176" s="177">
        <f t="shared" si="251"/>
        <v>0.24925889525212483</v>
      </c>
      <c r="CD176" s="5">
        <f t="shared" si="295"/>
        <v>3.1680000000000001</v>
      </c>
      <c r="CE176" s="177">
        <f t="shared" si="296"/>
        <v>0.92705882027304387</v>
      </c>
      <c r="CF176" s="5">
        <f t="shared" si="297"/>
        <v>92.705882027304384</v>
      </c>
      <c r="CG176">
        <f t="shared" si="298"/>
        <v>66</v>
      </c>
      <c r="CI176" s="571">
        <f t="shared" si="332"/>
        <v>-50</v>
      </c>
      <c r="CJ176">
        <f t="shared" si="333"/>
        <v>-50</v>
      </c>
    </row>
    <row r="177" spans="5:88" x14ac:dyDescent="0.25">
      <c r="E177" s="174">
        <v>67</v>
      </c>
      <c r="F177" s="221">
        <f t="shared" si="334"/>
        <v>0.13400000000000001</v>
      </c>
      <c r="G177" s="221">
        <f t="shared" si="299"/>
        <v>6.7000000000000004E-2</v>
      </c>
      <c r="H177" s="221">
        <f t="shared" si="300"/>
        <v>2.1440000000000001</v>
      </c>
      <c r="I177" s="221">
        <f t="shared" si="301"/>
        <v>1.0720000000000001</v>
      </c>
      <c r="J177" s="551">
        <f t="shared" si="302"/>
        <v>12</v>
      </c>
      <c r="K177" s="451">
        <f t="shared" si="303"/>
        <v>19.584</v>
      </c>
      <c r="L177" s="451">
        <f t="shared" si="304"/>
        <v>31.584</v>
      </c>
      <c r="M177" s="451"/>
      <c r="N177" s="221">
        <f t="shared" si="305"/>
        <v>0.62006079027355621</v>
      </c>
      <c r="O177" s="176">
        <f t="shared" si="306"/>
        <v>3.3483282674772035</v>
      </c>
      <c r="P177" s="176">
        <f t="shared" si="307"/>
        <v>1.6741641337386017</v>
      </c>
      <c r="Q177" s="221">
        <f t="shared" si="308"/>
        <v>0.20927051671732522</v>
      </c>
      <c r="R177" s="221">
        <f t="shared" si="309"/>
        <v>0.20927051671732522</v>
      </c>
      <c r="S177" s="221">
        <f t="shared" si="310"/>
        <v>16</v>
      </c>
      <c r="T177" s="221">
        <f t="shared" si="311"/>
        <v>0.96047930283224403</v>
      </c>
      <c r="U177" s="221">
        <f t="shared" si="312"/>
        <v>2.4011982570806101</v>
      </c>
      <c r="V177" s="221">
        <f t="shared" si="313"/>
        <v>1.4713224614464522</v>
      </c>
      <c r="W177" s="201">
        <f t="shared" si="314"/>
        <v>350</v>
      </c>
      <c r="X177" s="451">
        <f t="shared" si="315"/>
        <v>258.22973527701521</v>
      </c>
      <c r="Z177" s="221">
        <f t="shared" si="316"/>
        <v>0.70864090316977857</v>
      </c>
      <c r="AA177" s="177">
        <f t="shared" si="317"/>
        <v>1.0855405992184108</v>
      </c>
      <c r="AB177" s="177">
        <f t="shared" si="318"/>
        <v>0.1076961858920636</v>
      </c>
      <c r="AC177" s="177"/>
      <c r="AD177" s="177">
        <f t="shared" si="319"/>
        <v>0.4595588235294118</v>
      </c>
      <c r="AE177" s="555">
        <f t="shared" si="320"/>
        <v>2429.8666666666672</v>
      </c>
      <c r="AF177" s="538">
        <f t="shared" si="321"/>
        <v>1.9301470588235291E-2</v>
      </c>
      <c r="AH177" s="177">
        <f t="shared" si="322"/>
        <v>0.78266942483492263</v>
      </c>
      <c r="AI177" s="177">
        <f t="shared" si="323"/>
        <v>0.96047930283224403</v>
      </c>
      <c r="AJ177" s="177">
        <f t="shared" si="324"/>
        <v>1.6892439280238845</v>
      </c>
      <c r="AL177" s="555">
        <f t="shared" si="325"/>
        <v>134</v>
      </c>
      <c r="AM177" s="469">
        <f t="shared" si="326"/>
        <v>258.22973527701521</v>
      </c>
      <c r="AO177">
        <f t="shared" si="327"/>
        <v>134</v>
      </c>
      <c r="AP177">
        <f t="shared" si="328"/>
        <v>258.22973527701521</v>
      </c>
      <c r="AR177" s="5">
        <f t="shared" si="249"/>
        <v>3.872520718527062</v>
      </c>
      <c r="AS177" s="5">
        <f t="shared" si="246"/>
        <v>2.4011982570806101</v>
      </c>
      <c r="AT177" s="5">
        <f t="shared" si="247"/>
        <v>1.471322461446452</v>
      </c>
      <c r="AU177" s="177">
        <f t="shared" si="248"/>
        <v>0.62006079027355632</v>
      </c>
      <c r="AW177" s="5">
        <f t="shared" si="275"/>
        <v>2.0110035403050106</v>
      </c>
      <c r="AX177" s="5"/>
      <c r="AY177" s="5">
        <f t="shared" si="276"/>
        <v>1.0055017701525053</v>
      </c>
      <c r="AZ177" s="5"/>
      <c r="BA177" s="5">
        <f t="shared" si="277"/>
        <v>0.18255297206835608</v>
      </c>
      <c r="BB177" s="5"/>
      <c r="BC177" s="5"/>
      <c r="BD177" s="177">
        <f t="shared" si="278"/>
        <v>0.43666111375522848</v>
      </c>
      <c r="BE177" s="177">
        <f t="shared" si="279"/>
        <v>0.27344779640581973</v>
      </c>
      <c r="BF177" s="177">
        <f t="shared" si="280"/>
        <v>0.13672389820290987</v>
      </c>
      <c r="BG177" s="177"/>
      <c r="BH177" s="538">
        <f t="shared" si="281"/>
        <v>6.6735524893084805E-2</v>
      </c>
      <c r="BI177" s="538">
        <f t="shared" si="282"/>
        <v>3.9167999999999994E-2</v>
      </c>
      <c r="BJ177" s="538">
        <f t="shared" si="283"/>
        <v>3.2278716909626901E-3</v>
      </c>
      <c r="BK177" s="538">
        <f t="shared" si="284"/>
        <v>1.2879841432835822E-2</v>
      </c>
      <c r="BL177">
        <f t="shared" si="285"/>
        <v>3.48E-3</v>
      </c>
      <c r="BM177">
        <f t="shared" si="329"/>
        <v>4.5190203673477665E-6</v>
      </c>
      <c r="BN177">
        <f t="shared" si="330"/>
        <v>0.13618181937666302</v>
      </c>
      <c r="BO177" s="469">
        <f t="shared" si="286"/>
        <v>125.49123801688333</v>
      </c>
      <c r="BP177" s="177">
        <f t="shared" si="287"/>
        <v>5.3600000000000009E-2</v>
      </c>
      <c r="BQ177" s="177">
        <f t="shared" si="288"/>
        <v>2.6800000000000004E-2</v>
      </c>
      <c r="BR177" s="538"/>
      <c r="BT177" s="469">
        <f t="shared" si="289"/>
        <v>80.40000000000002</v>
      </c>
      <c r="BU177" s="538">
        <f t="shared" si="290"/>
        <v>1.906729282659566E-2</v>
      </c>
      <c r="BV177" s="538">
        <f t="shared" si="291"/>
        <v>2.2432109207759592E-3</v>
      </c>
      <c r="BW177" s="538">
        <f t="shared" si="292"/>
        <v>9.3467121698998304E-4</v>
      </c>
      <c r="BX177" s="538">
        <f t="shared" si="293"/>
        <v>0</v>
      </c>
      <c r="BY177" s="538">
        <f t="shared" si="274"/>
        <v>2.4959013369632618E-2</v>
      </c>
      <c r="BZ177" s="538">
        <f t="shared" si="250"/>
        <v>2.22451749643616E-2</v>
      </c>
      <c r="CA177" s="641">
        <f t="shared" si="331"/>
        <v>1.1911111111111112E-2</v>
      </c>
      <c r="CB177" s="469">
        <f t="shared" si="294"/>
        <v>81.360474409466917</v>
      </c>
      <c r="CC177" s="177">
        <f t="shared" si="251"/>
        <v>0.25345194385740677</v>
      </c>
      <c r="CD177" s="5">
        <f t="shared" si="295"/>
        <v>3.2160000000000002</v>
      </c>
      <c r="CE177" s="177">
        <f t="shared" si="296"/>
        <v>0.92694755599479106</v>
      </c>
      <c r="CF177" s="5">
        <f t="shared" si="297"/>
        <v>92.694755599479109</v>
      </c>
      <c r="CG177">
        <f t="shared" si="298"/>
        <v>67</v>
      </c>
      <c r="CI177" s="571">
        <f t="shared" si="332"/>
        <v>-50</v>
      </c>
      <c r="CJ177">
        <f t="shared" si="333"/>
        <v>-50</v>
      </c>
    </row>
    <row r="178" spans="5:88" x14ac:dyDescent="0.25">
      <c r="E178" s="174">
        <v>68</v>
      </c>
      <c r="F178" s="221">
        <f t="shared" si="334"/>
        <v>0.13600000000000001</v>
      </c>
      <c r="G178" s="221">
        <f t="shared" si="299"/>
        <v>6.8000000000000005E-2</v>
      </c>
      <c r="H178" s="221">
        <f t="shared" si="300"/>
        <v>2.1760000000000002</v>
      </c>
      <c r="I178" s="221">
        <f t="shared" si="301"/>
        <v>1.0880000000000001</v>
      </c>
      <c r="J178" s="551">
        <f t="shared" si="302"/>
        <v>12</v>
      </c>
      <c r="K178" s="451">
        <f t="shared" si="303"/>
        <v>19.584</v>
      </c>
      <c r="L178" s="451">
        <f t="shared" si="304"/>
        <v>31.584</v>
      </c>
      <c r="M178" s="451"/>
      <c r="N178" s="221">
        <f t="shared" si="305"/>
        <v>0.62006079027355621</v>
      </c>
      <c r="O178" s="176">
        <f t="shared" si="306"/>
        <v>3.3483282674772035</v>
      </c>
      <c r="P178" s="176">
        <f t="shared" si="307"/>
        <v>1.6741641337386017</v>
      </c>
      <c r="Q178" s="221">
        <f t="shared" si="308"/>
        <v>0.20927051671732522</v>
      </c>
      <c r="R178" s="221">
        <f t="shared" si="309"/>
        <v>0.20927051671732522</v>
      </c>
      <c r="S178" s="221">
        <f t="shared" si="310"/>
        <v>16</v>
      </c>
      <c r="T178" s="221">
        <f t="shared" si="311"/>
        <v>0.9748148148148148</v>
      </c>
      <c r="U178" s="221">
        <f t="shared" si="312"/>
        <v>2.4370370370370371</v>
      </c>
      <c r="V178" s="221">
        <f t="shared" si="313"/>
        <v>1.493282498184459</v>
      </c>
      <c r="W178" s="201">
        <f t="shared" si="314"/>
        <v>350</v>
      </c>
      <c r="X178" s="451">
        <f t="shared" si="315"/>
        <v>254.43223917000023</v>
      </c>
      <c r="Z178" s="221">
        <f t="shared" si="316"/>
        <v>0.70864090316977857</v>
      </c>
      <c r="AA178" s="177">
        <f t="shared" si="317"/>
        <v>1.0855405992184108</v>
      </c>
      <c r="AB178" s="177">
        <f t="shared" si="318"/>
        <v>0.1076961858920636</v>
      </c>
      <c r="AC178" s="177"/>
      <c r="AD178" s="177">
        <f t="shared" si="319"/>
        <v>0.4595588235294118</v>
      </c>
      <c r="AE178" s="555">
        <f t="shared" si="320"/>
        <v>2466.1333333333337</v>
      </c>
      <c r="AF178" s="538">
        <f t="shared" si="321"/>
        <v>1.9301470588235291E-2</v>
      </c>
      <c r="AH178" s="177">
        <f t="shared" si="322"/>
        <v>0.78848860848732982</v>
      </c>
      <c r="AI178" s="177">
        <f t="shared" si="323"/>
        <v>0.9748148148148148</v>
      </c>
      <c r="AJ178" s="177">
        <f t="shared" si="324"/>
        <v>1.6998628257887516</v>
      </c>
      <c r="AL178" s="555">
        <f t="shared" si="325"/>
        <v>136</v>
      </c>
      <c r="AM178" s="469">
        <f t="shared" si="326"/>
        <v>254.43223917000023</v>
      </c>
      <c r="AO178">
        <f t="shared" si="327"/>
        <v>136</v>
      </c>
      <c r="AP178">
        <f t="shared" si="328"/>
        <v>254.43223917000023</v>
      </c>
      <c r="AR178" s="5">
        <f t="shared" si="249"/>
        <v>3.9303195352214972</v>
      </c>
      <c r="AS178" s="5">
        <f t="shared" si="246"/>
        <v>2.4370370370370371</v>
      </c>
      <c r="AT178" s="5">
        <f t="shared" si="247"/>
        <v>1.4932824981844601</v>
      </c>
      <c r="AU178" s="177">
        <f t="shared" si="248"/>
        <v>0.6200607902735561</v>
      </c>
      <c r="AW178" s="5">
        <f t="shared" si="275"/>
        <v>2.0714814814814817</v>
      </c>
      <c r="AX178" s="5"/>
      <c r="AY178" s="5">
        <f t="shared" si="276"/>
        <v>1.0357407407407409</v>
      </c>
      <c r="AZ178" s="5"/>
      <c r="BA178" s="5">
        <f t="shared" si="277"/>
        <v>0.18804298125285793</v>
      </c>
      <c r="BB178" s="5"/>
      <c r="BC178" s="5"/>
      <c r="BD178" s="177">
        <f t="shared" si="278"/>
        <v>0.44317844381127663</v>
      </c>
      <c r="BE178" s="177">
        <f t="shared" si="279"/>
        <v>0.27752910679993648</v>
      </c>
      <c r="BF178" s="177">
        <f t="shared" si="280"/>
        <v>0.13876455339996824</v>
      </c>
      <c r="BG178" s="177"/>
      <c r="BH178" s="538">
        <f t="shared" si="281"/>
        <v>6.8742496570644698E-2</v>
      </c>
      <c r="BI178" s="538">
        <f t="shared" si="282"/>
        <v>3.9167999999999994E-2</v>
      </c>
      <c r="BJ178" s="538">
        <f t="shared" si="283"/>
        <v>3.1804029896250027E-3</v>
      </c>
      <c r="BK178" s="538">
        <f t="shared" si="284"/>
        <v>1.2690431999999998E-2</v>
      </c>
      <c r="BL178">
        <f t="shared" si="285"/>
        <v>3.48E-3</v>
      </c>
      <c r="BM178">
        <f t="shared" si="329"/>
        <v>4.4525641854750046E-6</v>
      </c>
      <c r="BN178">
        <f t="shared" si="330"/>
        <v>0.1383000797756565</v>
      </c>
      <c r="BO178" s="469">
        <f t="shared" si="286"/>
        <v>127.2613315602697</v>
      </c>
      <c r="BP178" s="177">
        <f t="shared" si="287"/>
        <v>5.4400000000000004E-2</v>
      </c>
      <c r="BQ178" s="177">
        <f t="shared" si="288"/>
        <v>2.7200000000000002E-2</v>
      </c>
      <c r="BR178" s="538"/>
      <c r="BT178" s="469">
        <f t="shared" si="289"/>
        <v>81.600000000000009</v>
      </c>
      <c r="BU178" s="538">
        <f t="shared" si="290"/>
        <v>1.9640713305898491E-2</v>
      </c>
      <c r="BV178" s="538">
        <f t="shared" si="291"/>
        <v>2.3106721536351165E-3</v>
      </c>
      <c r="BW178" s="538">
        <f t="shared" si="292"/>
        <v>9.6278006401463191E-4</v>
      </c>
      <c r="BX178" s="538">
        <f t="shared" si="293"/>
        <v>0</v>
      </c>
      <c r="BY178" s="538">
        <f t="shared" si="274"/>
        <v>2.5710997069784632E-2</v>
      </c>
      <c r="BZ178" s="538">
        <f t="shared" si="250"/>
        <v>2.291416552354824E-2</v>
      </c>
      <c r="CA178" s="641">
        <f t="shared" si="331"/>
        <v>1.2088888888888887E-2</v>
      </c>
      <c r="CB178" s="469">
        <f t="shared" si="294"/>
        <v>83.628217005769983</v>
      </c>
      <c r="CC178" s="177">
        <f t="shared" si="251"/>
        <v>0.25769996573433002</v>
      </c>
      <c r="CD178" s="5">
        <f t="shared" si="295"/>
        <v>3.2640000000000002</v>
      </c>
      <c r="CE178" s="177">
        <f t="shared" si="296"/>
        <v>0.92682512188950894</v>
      </c>
      <c r="CF178" s="5">
        <f t="shared" si="297"/>
        <v>92.682512188950895</v>
      </c>
      <c r="CG178">
        <f t="shared" si="298"/>
        <v>68</v>
      </c>
      <c r="CI178" s="571">
        <f t="shared" si="332"/>
        <v>-50</v>
      </c>
      <c r="CJ178">
        <f t="shared" si="333"/>
        <v>-50</v>
      </c>
    </row>
    <row r="179" spans="5:88" x14ac:dyDescent="0.25">
      <c r="E179" s="174">
        <v>69</v>
      </c>
      <c r="F179" s="221">
        <f t="shared" si="334"/>
        <v>0.13799999999999998</v>
      </c>
      <c r="G179" s="221">
        <f t="shared" si="299"/>
        <v>6.8999999999999992E-2</v>
      </c>
      <c r="H179" s="221">
        <f t="shared" si="300"/>
        <v>2.2079999999999997</v>
      </c>
      <c r="I179" s="221">
        <f t="shared" si="301"/>
        <v>1.1039999999999999</v>
      </c>
      <c r="J179" s="551">
        <f t="shared" si="302"/>
        <v>12</v>
      </c>
      <c r="K179" s="451">
        <f t="shared" si="303"/>
        <v>19.584</v>
      </c>
      <c r="L179" s="451">
        <f t="shared" si="304"/>
        <v>31.584</v>
      </c>
      <c r="M179" s="451"/>
      <c r="N179" s="221">
        <f t="shared" si="305"/>
        <v>0.62006079027355621</v>
      </c>
      <c r="O179" s="176">
        <f t="shared" si="306"/>
        <v>3.3483282674772035</v>
      </c>
      <c r="P179" s="176">
        <f t="shared" si="307"/>
        <v>1.6741641337386017</v>
      </c>
      <c r="Q179" s="221">
        <f t="shared" si="308"/>
        <v>0.20927051671732522</v>
      </c>
      <c r="R179" s="221">
        <f t="shared" si="309"/>
        <v>0.20927051671732522</v>
      </c>
      <c r="S179" s="221">
        <f t="shared" si="310"/>
        <v>16</v>
      </c>
      <c r="T179" s="221">
        <f t="shared" si="311"/>
        <v>0.98915032679738535</v>
      </c>
      <c r="U179" s="221">
        <f t="shared" si="312"/>
        <v>2.4728758169934633</v>
      </c>
      <c r="V179" s="221">
        <f t="shared" si="313"/>
        <v>1.5152425349224654</v>
      </c>
      <c r="W179" s="201">
        <f t="shared" si="314"/>
        <v>350</v>
      </c>
      <c r="X179" s="451">
        <f t="shared" si="315"/>
        <v>250.74481541391341</v>
      </c>
      <c r="Z179" s="221">
        <f t="shared" si="316"/>
        <v>0.70864090316977857</v>
      </c>
      <c r="AA179" s="177">
        <f t="shared" si="317"/>
        <v>1.0855405992184108</v>
      </c>
      <c r="AB179" s="177">
        <f t="shared" si="318"/>
        <v>0.1076961858920636</v>
      </c>
      <c r="AC179" s="177"/>
      <c r="AD179" s="177">
        <f t="shared" si="319"/>
        <v>0.4595588235294118</v>
      </c>
      <c r="AE179" s="555">
        <f t="shared" si="320"/>
        <v>2502.4</v>
      </c>
      <c r="AF179" s="538">
        <f t="shared" si="321"/>
        <v>1.9301470588235291E-2</v>
      </c>
      <c r="AH179" s="177">
        <f t="shared" si="322"/>
        <v>0.79426515903515671</v>
      </c>
      <c r="AI179" s="177">
        <f t="shared" si="323"/>
        <v>0.98915032679738535</v>
      </c>
      <c r="AJ179" s="177">
        <f t="shared" si="324"/>
        <v>1.7104817235536185</v>
      </c>
      <c r="AL179" s="555">
        <f t="shared" si="325"/>
        <v>137.99999999999997</v>
      </c>
      <c r="AM179" s="469">
        <f t="shared" si="326"/>
        <v>250.74481541391341</v>
      </c>
      <c r="AO179">
        <f t="shared" si="327"/>
        <v>137.99999999999997</v>
      </c>
      <c r="AP179">
        <f t="shared" si="328"/>
        <v>250.74481541391341</v>
      </c>
      <c r="AR179" s="5">
        <f t="shared" si="249"/>
        <v>3.9881183519159285</v>
      </c>
      <c r="AS179" s="5">
        <f t="shared" ref="AS179:AS242" si="335">L*AI179/J179*1000000</f>
        <v>2.4728758169934633</v>
      </c>
      <c r="AT179" s="5">
        <f t="shared" ref="AT179:AT242" si="336">AR179-AS179</f>
        <v>1.5152425349224652</v>
      </c>
      <c r="AU179" s="177">
        <f t="shared" ref="AU179:AU242" si="337">AS179/AR179</f>
        <v>0.62006079027355621</v>
      </c>
      <c r="AW179" s="5">
        <f t="shared" si="275"/>
        <v>2.1328553921568614</v>
      </c>
      <c r="AX179" s="5"/>
      <c r="AY179" s="5">
        <f t="shared" si="276"/>
        <v>1.0664276960784307</v>
      </c>
      <c r="AZ179" s="5"/>
      <c r="BA179" s="5">
        <f t="shared" si="277"/>
        <v>0.19361432390675942</v>
      </c>
      <c r="BB179" s="5"/>
      <c r="BC179" s="5"/>
      <c r="BD179" s="177">
        <f t="shared" si="278"/>
        <v>0.44969577386732473</v>
      </c>
      <c r="BE179" s="177">
        <f t="shared" si="279"/>
        <v>0.28161041719405311</v>
      </c>
      <c r="BF179" s="177">
        <f t="shared" si="280"/>
        <v>0.14080520859702655</v>
      </c>
      <c r="BG179" s="177"/>
      <c r="BH179" s="538">
        <f t="shared" si="281"/>
        <v>7.077920116194622E-2</v>
      </c>
      <c r="BI179" s="538">
        <f t="shared" si="282"/>
        <v>3.9168000000000001E-2</v>
      </c>
      <c r="BJ179" s="538">
        <f t="shared" si="283"/>
        <v>3.1343101926739176E-3</v>
      </c>
      <c r="BK179" s="538">
        <f t="shared" si="284"/>
        <v>1.2506512695652181E-2</v>
      </c>
      <c r="BL179">
        <f t="shared" si="285"/>
        <v>3.48E-3</v>
      </c>
      <c r="BM179">
        <f t="shared" si="329"/>
        <v>4.3880342697434847E-6</v>
      </c>
      <c r="BN179">
        <f t="shared" si="330"/>
        <v>0.14046186235831565</v>
      </c>
      <c r="BO179" s="469">
        <f t="shared" si="286"/>
        <v>129.06802405027236</v>
      </c>
      <c r="BP179" s="177">
        <f t="shared" si="287"/>
        <v>5.5199999999999999E-2</v>
      </c>
      <c r="BQ179" s="177">
        <f t="shared" si="288"/>
        <v>2.76E-2</v>
      </c>
      <c r="BR179" s="538"/>
      <c r="BT179" s="469">
        <f t="shared" si="289"/>
        <v>82.8</v>
      </c>
      <c r="BU179" s="538">
        <f t="shared" si="290"/>
        <v>2.0222628903413208E-2</v>
      </c>
      <c r="BV179" s="538">
        <f t="shared" si="291"/>
        <v>2.3791328121662591E-3</v>
      </c>
      <c r="BW179" s="538">
        <f t="shared" si="292"/>
        <v>9.9130533840260807E-4</v>
      </c>
      <c r="BX179" s="538">
        <f t="shared" si="293"/>
        <v>0</v>
      </c>
      <c r="BY179" s="538">
        <f t="shared" si="274"/>
        <v>2.6474203713533064E-2</v>
      </c>
      <c r="BZ179" s="538">
        <f t="shared" si="250"/>
        <v>2.3593067053982078E-2</v>
      </c>
      <c r="CA179" s="641">
        <f t="shared" si="331"/>
        <v>1.2266666666666665E-2</v>
      </c>
      <c r="CB179" s="469">
        <f t="shared" si="294"/>
        <v>85.927004488163888</v>
      </c>
      <c r="CC179" s="177">
        <f t="shared" si="251"/>
        <v>0.26200273273851538</v>
      </c>
      <c r="CD179" s="5">
        <f t="shared" si="295"/>
        <v>3.3119999999999994</v>
      </c>
      <c r="CE179" s="177">
        <f t="shared" si="296"/>
        <v>0.92669207263371045</v>
      </c>
      <c r="CF179" s="5">
        <f t="shared" si="297"/>
        <v>92.66920726337105</v>
      </c>
      <c r="CG179">
        <f t="shared" si="298"/>
        <v>68.999999999999986</v>
      </c>
      <c r="CI179" s="571">
        <f t="shared" si="332"/>
        <v>-50</v>
      </c>
      <c r="CJ179">
        <f t="shared" si="333"/>
        <v>-50</v>
      </c>
    </row>
    <row r="180" spans="5:88" x14ac:dyDescent="0.25">
      <c r="E180" s="174">
        <v>70</v>
      </c>
      <c r="F180" s="221">
        <f t="shared" si="334"/>
        <v>0.13999999999999999</v>
      </c>
      <c r="G180" s="221">
        <f t="shared" si="299"/>
        <v>6.9999999999999993E-2</v>
      </c>
      <c r="H180" s="221">
        <f t="shared" si="300"/>
        <v>2.2399999999999998</v>
      </c>
      <c r="I180" s="221">
        <f t="shared" si="301"/>
        <v>1.1199999999999999</v>
      </c>
      <c r="J180" s="551">
        <f t="shared" si="302"/>
        <v>12</v>
      </c>
      <c r="K180" s="451">
        <f t="shared" si="303"/>
        <v>19.584</v>
      </c>
      <c r="L180" s="451">
        <f t="shared" si="304"/>
        <v>31.584</v>
      </c>
      <c r="M180" s="451"/>
      <c r="N180" s="221">
        <f t="shared" si="305"/>
        <v>0.62006079027355621</v>
      </c>
      <c r="O180" s="176">
        <f t="shared" si="306"/>
        <v>3.3483282674772035</v>
      </c>
      <c r="P180" s="176">
        <f t="shared" si="307"/>
        <v>1.6741641337386017</v>
      </c>
      <c r="Q180" s="221">
        <f t="shared" si="308"/>
        <v>0.20927051671732522</v>
      </c>
      <c r="R180" s="221">
        <f t="shared" si="309"/>
        <v>0.20927051671732522</v>
      </c>
      <c r="S180" s="221">
        <f t="shared" si="310"/>
        <v>16</v>
      </c>
      <c r="T180" s="221">
        <f t="shared" si="311"/>
        <v>1.0034858387799561</v>
      </c>
      <c r="U180" s="221">
        <f t="shared" si="312"/>
        <v>2.5087145969498903</v>
      </c>
      <c r="V180" s="221">
        <f t="shared" si="313"/>
        <v>1.537202571660472</v>
      </c>
      <c r="W180" s="201">
        <f t="shared" si="314"/>
        <v>350</v>
      </c>
      <c r="X180" s="451">
        <f t="shared" si="315"/>
        <v>247.16274662228605</v>
      </c>
      <c r="Z180" s="221">
        <f t="shared" si="316"/>
        <v>0.70864090316977857</v>
      </c>
      <c r="AA180" s="177">
        <f t="shared" si="317"/>
        <v>1.0855405992184108</v>
      </c>
      <c r="AB180" s="177">
        <f t="shared" si="318"/>
        <v>0.1076961858920636</v>
      </c>
      <c r="AC180" s="177"/>
      <c r="AD180" s="177">
        <f t="shared" si="319"/>
        <v>0.4595588235294118</v>
      </c>
      <c r="AE180" s="555">
        <f t="shared" si="320"/>
        <v>2538.666666666667</v>
      </c>
      <c r="AF180" s="538">
        <f t="shared" si="321"/>
        <v>1.9301470588235291E-2</v>
      </c>
      <c r="AH180" s="177">
        <f t="shared" si="322"/>
        <v>0.79999999999999993</v>
      </c>
      <c r="AI180" s="177">
        <f t="shared" si="323"/>
        <v>1.0034858387799561</v>
      </c>
      <c r="AJ180" s="177">
        <f t="shared" si="324"/>
        <v>1.7211006213184858</v>
      </c>
      <c r="AL180" s="555">
        <f t="shared" si="325"/>
        <v>139.99999999999997</v>
      </c>
      <c r="AM180" s="469">
        <f t="shared" si="326"/>
        <v>247.16274662228605</v>
      </c>
      <c r="AO180">
        <f t="shared" si="327"/>
        <v>139.99999999999997</v>
      </c>
      <c r="AP180">
        <f t="shared" si="328"/>
        <v>247.16274662228605</v>
      </c>
      <c r="AR180" s="5">
        <f t="shared" si="249"/>
        <v>4.0459171686103623</v>
      </c>
      <c r="AS180" s="5">
        <f t="shared" si="335"/>
        <v>2.5087145969498903</v>
      </c>
      <c r="AT180" s="5">
        <f t="shared" si="336"/>
        <v>1.537202571660472</v>
      </c>
      <c r="AU180" s="177">
        <f t="shared" si="337"/>
        <v>0.62006079027355621</v>
      </c>
      <c r="AW180" s="5">
        <f t="shared" si="275"/>
        <v>2.1951252723311536</v>
      </c>
      <c r="AX180" s="5"/>
      <c r="AY180" s="5">
        <f t="shared" si="276"/>
        <v>1.0975626361655768</v>
      </c>
      <c r="AZ180" s="5"/>
      <c r="BA180" s="5">
        <f t="shared" si="277"/>
        <v>0.19926700003006115</v>
      </c>
      <c r="BB180" s="5"/>
      <c r="BC180" s="5"/>
      <c r="BD180" s="177">
        <f t="shared" si="278"/>
        <v>0.45621310392337294</v>
      </c>
      <c r="BE180" s="177">
        <f t="shared" si="279"/>
        <v>0.2856917275881698</v>
      </c>
      <c r="BF180" s="177">
        <f t="shared" si="280"/>
        <v>0.1428458637940849</v>
      </c>
      <c r="BG180" s="177"/>
      <c r="BH180" s="538">
        <f t="shared" si="281"/>
        <v>7.2845638666989398E-2</v>
      </c>
      <c r="BI180" s="538">
        <f t="shared" si="282"/>
        <v>3.9167999999999994E-2</v>
      </c>
      <c r="BJ180" s="538">
        <f t="shared" si="283"/>
        <v>3.0895343327785756E-3</v>
      </c>
      <c r="BK180" s="538">
        <f t="shared" si="284"/>
        <v>1.2327848228571433E-2</v>
      </c>
      <c r="BL180">
        <f t="shared" si="285"/>
        <v>3.48E-3</v>
      </c>
      <c r="BM180">
        <f t="shared" si="329"/>
        <v>4.3253480658900064E-6</v>
      </c>
      <c r="BN180">
        <f t="shared" si="330"/>
        <v>0.14266695456682532</v>
      </c>
      <c r="BO180" s="469">
        <f t="shared" si="286"/>
        <v>130.91102122833942</v>
      </c>
      <c r="BP180" s="177">
        <f t="shared" si="287"/>
        <v>5.5999999999999994E-2</v>
      </c>
      <c r="BQ180" s="177">
        <f t="shared" si="288"/>
        <v>2.7999999999999997E-2</v>
      </c>
      <c r="BR180" s="538"/>
      <c r="BT180" s="469">
        <f t="shared" si="289"/>
        <v>83.999999999999986</v>
      </c>
      <c r="BU180" s="538">
        <f t="shared" si="290"/>
        <v>2.0813039619139828E-2</v>
      </c>
      <c r="BV180" s="538">
        <f t="shared" si="291"/>
        <v>2.4485928963693909E-3</v>
      </c>
      <c r="BW180" s="538">
        <f t="shared" si="292"/>
        <v>1.0202470401539129E-3</v>
      </c>
      <c r="BX180" s="538">
        <f t="shared" si="293"/>
        <v>0</v>
      </c>
      <c r="BY180" s="538">
        <f t="shared" si="274"/>
        <v>2.7248636951984637E-2</v>
      </c>
      <c r="BZ180" s="538">
        <f t="shared" si="250"/>
        <v>2.4281879555663133E-2</v>
      </c>
      <c r="CA180" s="641">
        <f t="shared" si="331"/>
        <v>1.2444444444444444E-2</v>
      </c>
      <c r="CB180" s="469">
        <f t="shared" si="294"/>
        <v>88.256840507755342</v>
      </c>
      <c r="CC180" s="177">
        <f t="shared" si="251"/>
        <v>0.26636003596325436</v>
      </c>
      <c r="CD180" s="5">
        <f t="shared" si="295"/>
        <v>3.3599999999999994</v>
      </c>
      <c r="CE180" s="177">
        <f t="shared" si="296"/>
        <v>0.92654892693452529</v>
      </c>
      <c r="CF180" s="5">
        <f t="shared" si="297"/>
        <v>92.654892693452524</v>
      </c>
      <c r="CG180">
        <f t="shared" si="298"/>
        <v>69.999999999999986</v>
      </c>
      <c r="CI180" s="571">
        <f t="shared" si="332"/>
        <v>-50</v>
      </c>
      <c r="CJ180">
        <f t="shared" si="333"/>
        <v>-50</v>
      </c>
    </row>
    <row r="181" spans="5:88" x14ac:dyDescent="0.25">
      <c r="E181" s="174">
        <v>71</v>
      </c>
      <c r="F181" s="221">
        <f t="shared" si="334"/>
        <v>0.14199999999999999</v>
      </c>
      <c r="G181" s="221">
        <f t="shared" si="299"/>
        <v>7.0999999999999994E-2</v>
      </c>
      <c r="H181" s="221">
        <f t="shared" si="300"/>
        <v>2.2719999999999998</v>
      </c>
      <c r="I181" s="221">
        <f t="shared" si="301"/>
        <v>1.1359999999999999</v>
      </c>
      <c r="J181" s="551">
        <f t="shared" si="302"/>
        <v>12</v>
      </c>
      <c r="K181" s="451">
        <f t="shared" si="303"/>
        <v>19.584</v>
      </c>
      <c r="L181" s="451">
        <f t="shared" si="304"/>
        <v>31.584</v>
      </c>
      <c r="M181" s="451"/>
      <c r="N181" s="221">
        <f t="shared" si="305"/>
        <v>0.62006079027355621</v>
      </c>
      <c r="O181" s="176">
        <f t="shared" si="306"/>
        <v>3.3483282674772035</v>
      </c>
      <c r="P181" s="176">
        <f t="shared" si="307"/>
        <v>1.6741641337386017</v>
      </c>
      <c r="Q181" s="221">
        <f t="shared" si="308"/>
        <v>0.20927051671732522</v>
      </c>
      <c r="R181" s="221">
        <f t="shared" si="309"/>
        <v>0.20927051671732522</v>
      </c>
      <c r="S181" s="221">
        <f t="shared" si="310"/>
        <v>16</v>
      </c>
      <c r="T181" s="221">
        <f t="shared" si="311"/>
        <v>1.0178213507625269</v>
      </c>
      <c r="U181" s="221">
        <f t="shared" si="312"/>
        <v>2.5445533769063178</v>
      </c>
      <c r="V181" s="221">
        <f t="shared" si="313"/>
        <v>1.5591626083984789</v>
      </c>
      <c r="W181" s="201">
        <f t="shared" si="314"/>
        <v>350</v>
      </c>
      <c r="X181" s="451">
        <f t="shared" si="315"/>
        <v>243.68158117690169</v>
      </c>
      <c r="Z181" s="221">
        <f t="shared" si="316"/>
        <v>0.70864090316977857</v>
      </c>
      <c r="AA181" s="177">
        <f t="shared" si="317"/>
        <v>1.0855405992184108</v>
      </c>
      <c r="AB181" s="177">
        <f t="shared" si="318"/>
        <v>0.1076961858920636</v>
      </c>
      <c r="AC181" s="177"/>
      <c r="AD181" s="177">
        <f t="shared" si="319"/>
        <v>0.4595588235294118</v>
      </c>
      <c r="AE181" s="555">
        <f t="shared" si="320"/>
        <v>2574.9333333333338</v>
      </c>
      <c r="AF181" s="538">
        <f t="shared" si="321"/>
        <v>1.9301470588235291E-2</v>
      </c>
      <c r="AH181" s="177">
        <f t="shared" si="322"/>
        <v>0.80569402203495155</v>
      </c>
      <c r="AI181" s="177">
        <f t="shared" si="323"/>
        <v>1.0178213507625269</v>
      </c>
      <c r="AJ181" s="177">
        <f t="shared" si="324"/>
        <v>1.7317195190833532</v>
      </c>
      <c r="AL181" s="555">
        <f t="shared" si="325"/>
        <v>142</v>
      </c>
      <c r="AM181" s="469">
        <f t="shared" si="326"/>
        <v>243.68158117690169</v>
      </c>
      <c r="AO181">
        <f t="shared" si="327"/>
        <v>142</v>
      </c>
      <c r="AP181">
        <f t="shared" si="328"/>
        <v>243.68158117690169</v>
      </c>
      <c r="AR181" s="5">
        <f t="shared" si="249"/>
        <v>4.1037159853047971</v>
      </c>
      <c r="AS181" s="5">
        <f t="shared" si="335"/>
        <v>2.5445533769063178</v>
      </c>
      <c r="AT181" s="5">
        <f t="shared" si="336"/>
        <v>1.5591626083984793</v>
      </c>
      <c r="AU181" s="177">
        <f t="shared" si="337"/>
        <v>0.62006079027355621</v>
      </c>
      <c r="AW181" s="5">
        <f t="shared" si="275"/>
        <v>2.2582911220043567</v>
      </c>
      <c r="AX181" s="5"/>
      <c r="AY181" s="5">
        <f t="shared" si="276"/>
        <v>1.1291455610021783</v>
      </c>
      <c r="AZ181" s="5"/>
      <c r="BA181" s="5">
        <f t="shared" si="277"/>
        <v>0.20500100962276299</v>
      </c>
      <c r="BB181" s="5"/>
      <c r="BC181" s="5"/>
      <c r="BD181" s="177">
        <f t="shared" si="278"/>
        <v>0.4627304339794211</v>
      </c>
      <c r="BE181" s="177">
        <f t="shared" si="279"/>
        <v>0.28977303798228649</v>
      </c>
      <c r="BF181" s="177">
        <f t="shared" si="280"/>
        <v>0.14488651899114324</v>
      </c>
      <c r="BG181" s="177"/>
      <c r="BH181" s="538">
        <f t="shared" si="281"/>
        <v>7.4941809085774178E-2</v>
      </c>
      <c r="BI181" s="538">
        <f t="shared" si="282"/>
        <v>3.9167999999999988E-2</v>
      </c>
      <c r="BJ181" s="538">
        <f t="shared" si="283"/>
        <v>3.0460197647112709E-3</v>
      </c>
      <c r="BK181" s="538">
        <f t="shared" si="284"/>
        <v>1.2154216563380284E-2</v>
      </c>
      <c r="BL181">
        <f t="shared" si="285"/>
        <v>3.48E-3</v>
      </c>
      <c r="BM181">
        <f t="shared" si="329"/>
        <v>4.2644276705957801E-6</v>
      </c>
      <c r="BN181">
        <f t="shared" si="330"/>
        <v>0.14491516177762301</v>
      </c>
      <c r="BO181" s="469">
        <f t="shared" si="286"/>
        <v>132.79004541386576</v>
      </c>
      <c r="BP181" s="177">
        <f t="shared" si="287"/>
        <v>5.6799999999999996E-2</v>
      </c>
      <c r="BQ181" s="177">
        <f t="shared" si="288"/>
        <v>2.8399999999999998E-2</v>
      </c>
      <c r="BR181" s="538"/>
      <c r="BT181" s="469">
        <f t="shared" si="289"/>
        <v>85.2</v>
      </c>
      <c r="BU181" s="538">
        <f t="shared" si="290"/>
        <v>2.141194545307834E-2</v>
      </c>
      <c r="BV181" s="538">
        <f t="shared" si="291"/>
        <v>2.5190524062445093E-3</v>
      </c>
      <c r="BW181" s="538">
        <f t="shared" si="292"/>
        <v>1.0496051692685455E-3</v>
      </c>
      <c r="BX181" s="538">
        <f t="shared" si="293"/>
        <v>0</v>
      </c>
      <c r="BY181" s="538">
        <f t="shared" si="274"/>
        <v>2.8034300490561485E-2</v>
      </c>
      <c r="BZ181" s="538">
        <f t="shared" si="250"/>
        <v>2.4980603028591397E-2</v>
      </c>
      <c r="CA181" s="641">
        <f t="shared" si="331"/>
        <v>1.2622222222222215E-2</v>
      </c>
      <c r="CB181" s="469">
        <f t="shared" si="294"/>
        <v>90.617728769966504</v>
      </c>
      <c r="CC181" s="177">
        <f t="shared" si="251"/>
        <v>0.27077168449040667</v>
      </c>
      <c r="CD181" s="5">
        <f t="shared" si="295"/>
        <v>3.4079999999999995</v>
      </c>
      <c r="CE181" s="177">
        <f t="shared" si="296"/>
        <v>0.92639617032174848</v>
      </c>
      <c r="CF181" s="5">
        <f t="shared" si="297"/>
        <v>92.639617032174854</v>
      </c>
      <c r="CG181">
        <f t="shared" si="298"/>
        <v>70.999999999999986</v>
      </c>
      <c r="CI181" s="571">
        <f t="shared" si="332"/>
        <v>-50</v>
      </c>
      <c r="CJ181">
        <f t="shared" si="333"/>
        <v>-50</v>
      </c>
    </row>
    <row r="182" spans="5:88" x14ac:dyDescent="0.25">
      <c r="E182" s="174">
        <v>72</v>
      </c>
      <c r="F182" s="221">
        <f t="shared" si="334"/>
        <v>0.14399999999999999</v>
      </c>
      <c r="G182" s="221">
        <f t="shared" si="299"/>
        <v>7.1999999999999995E-2</v>
      </c>
      <c r="H182" s="221">
        <f t="shared" si="300"/>
        <v>2.3039999999999998</v>
      </c>
      <c r="I182" s="221">
        <f t="shared" si="301"/>
        <v>1.1519999999999999</v>
      </c>
      <c r="J182" s="551">
        <f t="shared" si="302"/>
        <v>12</v>
      </c>
      <c r="K182" s="451">
        <f t="shared" si="303"/>
        <v>19.584</v>
      </c>
      <c r="L182" s="451">
        <f t="shared" si="304"/>
        <v>31.584</v>
      </c>
      <c r="M182" s="451"/>
      <c r="N182" s="221">
        <f t="shared" si="305"/>
        <v>0.62006079027355621</v>
      </c>
      <c r="O182" s="176">
        <f t="shared" si="306"/>
        <v>3.3483282674772035</v>
      </c>
      <c r="P182" s="176">
        <f t="shared" si="307"/>
        <v>1.6741641337386017</v>
      </c>
      <c r="Q182" s="221">
        <f t="shared" si="308"/>
        <v>0.20927051671732522</v>
      </c>
      <c r="R182" s="221">
        <f t="shared" si="309"/>
        <v>0.20927051671732522</v>
      </c>
      <c r="S182" s="221">
        <f t="shared" si="310"/>
        <v>16</v>
      </c>
      <c r="T182" s="221">
        <f t="shared" si="311"/>
        <v>1.0321568627450979</v>
      </c>
      <c r="U182" s="221">
        <f t="shared" si="312"/>
        <v>2.5803921568627448</v>
      </c>
      <c r="V182" s="221">
        <f t="shared" si="313"/>
        <v>1.5811226451364859</v>
      </c>
      <c r="W182" s="201">
        <f t="shared" si="314"/>
        <v>350</v>
      </c>
      <c r="X182" s="451">
        <f t="shared" si="315"/>
        <v>240.29711477166694</v>
      </c>
      <c r="Z182" s="221">
        <f t="shared" si="316"/>
        <v>0.70864090316977857</v>
      </c>
      <c r="AA182" s="177">
        <f t="shared" si="317"/>
        <v>1.0855405992184108</v>
      </c>
      <c r="AB182" s="177">
        <f t="shared" si="318"/>
        <v>0.1076961858920636</v>
      </c>
      <c r="AC182" s="177"/>
      <c r="AD182" s="177">
        <f t="shared" si="319"/>
        <v>0.4595588235294118</v>
      </c>
      <c r="AE182" s="555">
        <f t="shared" si="320"/>
        <v>2611.1999999999998</v>
      </c>
      <c r="AF182" s="538">
        <f t="shared" si="321"/>
        <v>1.9301470588235291E-2</v>
      </c>
      <c r="AH182" s="177">
        <f t="shared" si="322"/>
        <v>0.81134808453937579</v>
      </c>
      <c r="AI182" s="177">
        <f t="shared" si="323"/>
        <v>1.0321568627450979</v>
      </c>
      <c r="AJ182" s="177">
        <f t="shared" si="324"/>
        <v>1.7423384168482206</v>
      </c>
      <c r="AL182" s="555">
        <f t="shared" si="325"/>
        <v>144</v>
      </c>
      <c r="AM182" s="469">
        <f t="shared" si="326"/>
        <v>240.29711477166694</v>
      </c>
      <c r="AO182">
        <f t="shared" si="327"/>
        <v>144</v>
      </c>
      <c r="AP182">
        <f t="shared" si="328"/>
        <v>240.29711477166694</v>
      </c>
      <c r="AR182" s="5">
        <f t="shared" si="249"/>
        <v>4.161514801999231</v>
      </c>
      <c r="AS182" s="5">
        <f t="shared" si="335"/>
        <v>2.5803921568627448</v>
      </c>
      <c r="AT182" s="5">
        <f t="shared" si="336"/>
        <v>1.5811226451364861</v>
      </c>
      <c r="AU182" s="177">
        <f t="shared" si="337"/>
        <v>0.62006079027355621</v>
      </c>
      <c r="AW182" s="5">
        <f t="shared" si="275"/>
        <v>2.3223529411764701</v>
      </c>
      <c r="AX182" s="5"/>
      <c r="AY182" s="5">
        <f t="shared" si="276"/>
        <v>1.161176470588235</v>
      </c>
      <c r="AZ182" s="5"/>
      <c r="BA182" s="5">
        <f t="shared" si="277"/>
        <v>0.21081635268486476</v>
      </c>
      <c r="BB182" s="5"/>
      <c r="BC182" s="5"/>
      <c r="BD182" s="177">
        <f t="shared" si="278"/>
        <v>0.46924776403546936</v>
      </c>
      <c r="BE182" s="177">
        <f t="shared" si="279"/>
        <v>0.29385434837640323</v>
      </c>
      <c r="BF182" s="177">
        <f t="shared" si="280"/>
        <v>0.14692717418820161</v>
      </c>
      <c r="BG182" s="177"/>
      <c r="BH182" s="538">
        <f t="shared" si="281"/>
        <v>7.7067712418300641E-2</v>
      </c>
      <c r="BI182" s="538">
        <f t="shared" si="282"/>
        <v>3.9167999999999994E-2</v>
      </c>
      <c r="BJ182" s="538">
        <f t="shared" si="283"/>
        <v>3.0037139346458363E-3</v>
      </c>
      <c r="BK182" s="538">
        <f t="shared" si="284"/>
        <v>1.1985408000000001E-2</v>
      </c>
      <c r="BL182">
        <f t="shared" si="285"/>
        <v>3.48E-3</v>
      </c>
      <c r="BM182">
        <f t="shared" si="329"/>
        <v>4.2051995085041721E-6</v>
      </c>
      <c r="BN182">
        <f t="shared" si="330"/>
        <v>0.14720630615706959</v>
      </c>
      <c r="BO182" s="469">
        <f t="shared" si="286"/>
        <v>134.70483435294648</v>
      </c>
      <c r="BP182" s="177">
        <f t="shared" si="287"/>
        <v>5.7599999999999998E-2</v>
      </c>
      <c r="BQ182" s="177">
        <f t="shared" si="288"/>
        <v>2.8799999999999999E-2</v>
      </c>
      <c r="BR182" s="538"/>
      <c r="BT182" s="469">
        <f t="shared" si="289"/>
        <v>86.4</v>
      </c>
      <c r="BU182" s="538">
        <f t="shared" si="290"/>
        <v>2.2019346405228755E-2</v>
      </c>
      <c r="BV182" s="538">
        <f t="shared" si="291"/>
        <v>2.5905113417916165E-3</v>
      </c>
      <c r="BW182" s="538">
        <f t="shared" si="292"/>
        <v>1.079379725746507E-3</v>
      </c>
      <c r="BX182" s="538">
        <f t="shared" si="293"/>
        <v>0</v>
      </c>
      <c r="BY182" s="538">
        <f t="shared" si="274"/>
        <v>2.8831198089045617E-2</v>
      </c>
      <c r="BZ182" s="538">
        <f t="shared" si="250"/>
        <v>2.5689237472766878E-2</v>
      </c>
      <c r="CA182" s="641">
        <f t="shared" si="331"/>
        <v>1.2799999999999997E-2</v>
      </c>
      <c r="CB182" s="469">
        <f t="shared" si="294"/>
        <v>93.009673034579365</v>
      </c>
      <c r="CC182" s="177">
        <f t="shared" si="251"/>
        <v>0.27523750424611515</v>
      </c>
      <c r="CD182" s="5">
        <f t="shared" si="295"/>
        <v>3.4559999999999995</v>
      </c>
      <c r="CE182" s="177">
        <f t="shared" si="296"/>
        <v>0.92623425768718892</v>
      </c>
      <c r="CF182" s="5">
        <f t="shared" si="297"/>
        <v>92.623425768718889</v>
      </c>
      <c r="CG182">
        <f t="shared" si="298"/>
        <v>71.999999999999986</v>
      </c>
      <c r="CI182" s="571">
        <f t="shared" si="332"/>
        <v>-50</v>
      </c>
      <c r="CJ182">
        <f t="shared" si="333"/>
        <v>-50</v>
      </c>
    </row>
    <row r="183" spans="5:88" x14ac:dyDescent="0.25">
      <c r="E183" s="174">
        <v>73</v>
      </c>
      <c r="F183" s="221">
        <f t="shared" si="334"/>
        <v>0.14599999999999999</v>
      </c>
      <c r="G183" s="221">
        <f t="shared" si="299"/>
        <v>7.2999999999999995E-2</v>
      </c>
      <c r="H183" s="221">
        <f t="shared" si="300"/>
        <v>2.3359999999999999</v>
      </c>
      <c r="I183" s="221">
        <f t="shared" si="301"/>
        <v>1.1679999999999999</v>
      </c>
      <c r="J183" s="551">
        <f t="shared" si="302"/>
        <v>12</v>
      </c>
      <c r="K183" s="451">
        <f t="shared" si="303"/>
        <v>19.584</v>
      </c>
      <c r="L183" s="451">
        <f t="shared" si="304"/>
        <v>31.584</v>
      </c>
      <c r="M183" s="451"/>
      <c r="N183" s="221">
        <f t="shared" si="305"/>
        <v>0.62006079027355621</v>
      </c>
      <c r="O183" s="176">
        <f t="shared" si="306"/>
        <v>3.3483282674772035</v>
      </c>
      <c r="P183" s="176">
        <f t="shared" si="307"/>
        <v>1.6741641337386017</v>
      </c>
      <c r="Q183" s="221">
        <f t="shared" si="308"/>
        <v>0.20927051671732522</v>
      </c>
      <c r="R183" s="221">
        <f t="shared" si="309"/>
        <v>0.20927051671732522</v>
      </c>
      <c r="S183" s="221">
        <f t="shared" si="310"/>
        <v>16</v>
      </c>
      <c r="T183" s="221">
        <f t="shared" si="311"/>
        <v>1.0464923747276687</v>
      </c>
      <c r="U183" s="221">
        <f t="shared" si="312"/>
        <v>2.6162309368191718</v>
      </c>
      <c r="V183" s="221">
        <f t="shared" si="313"/>
        <v>1.6030826818744925</v>
      </c>
      <c r="W183" s="201">
        <f t="shared" si="314"/>
        <v>350</v>
      </c>
      <c r="X183" s="451">
        <f t="shared" si="315"/>
        <v>237.0053734734249</v>
      </c>
      <c r="Z183" s="221">
        <f t="shared" si="316"/>
        <v>0.70864090316977857</v>
      </c>
      <c r="AA183" s="177">
        <f t="shared" si="317"/>
        <v>1.0855405992184108</v>
      </c>
      <c r="AB183" s="177">
        <f t="shared" si="318"/>
        <v>0.1076961858920636</v>
      </c>
      <c r="AC183" s="177"/>
      <c r="AD183" s="177">
        <f t="shared" si="319"/>
        <v>0.4595588235294118</v>
      </c>
      <c r="AE183" s="555">
        <f t="shared" si="320"/>
        <v>2647.4666666666667</v>
      </c>
      <c r="AF183" s="538">
        <f t="shared" si="321"/>
        <v>1.9301470588235291E-2</v>
      </c>
      <c r="AH183" s="177">
        <f t="shared" si="322"/>
        <v>0.81696301717309783</v>
      </c>
      <c r="AI183" s="177">
        <f t="shared" si="323"/>
        <v>1.0464923747276687</v>
      </c>
      <c r="AJ183" s="177">
        <f t="shared" si="324"/>
        <v>1.7529573146130879</v>
      </c>
      <c r="AL183" s="555">
        <f t="shared" si="325"/>
        <v>146</v>
      </c>
      <c r="AM183" s="469">
        <f t="shared" si="326"/>
        <v>237.0053734734249</v>
      </c>
      <c r="AO183">
        <f t="shared" si="327"/>
        <v>146</v>
      </c>
      <c r="AP183">
        <f t="shared" si="328"/>
        <v>237.0053734734249</v>
      </c>
      <c r="AR183" s="5">
        <f t="shared" si="249"/>
        <v>4.2193136186936657</v>
      </c>
      <c r="AS183" s="5">
        <f t="shared" si="335"/>
        <v>2.6162309368191718</v>
      </c>
      <c r="AT183" s="5">
        <f t="shared" si="336"/>
        <v>1.6030826818744939</v>
      </c>
      <c r="AU183" s="177">
        <f t="shared" si="337"/>
        <v>0.62006079027355598</v>
      </c>
      <c r="AW183" s="5">
        <f t="shared" si="275"/>
        <v>2.3873107298474943</v>
      </c>
      <c r="AX183" s="5"/>
      <c r="AY183" s="5">
        <f t="shared" si="276"/>
        <v>1.1936553649237471</v>
      </c>
      <c r="AZ183" s="5"/>
      <c r="BA183" s="5">
        <f t="shared" si="277"/>
        <v>0.21671302921636676</v>
      </c>
      <c r="BB183" s="5"/>
      <c r="BC183" s="5"/>
      <c r="BD183" s="177">
        <f t="shared" si="278"/>
        <v>0.4757650940915174</v>
      </c>
      <c r="BE183" s="177">
        <f t="shared" si="279"/>
        <v>0.29793565877052008</v>
      </c>
      <c r="BF183" s="177">
        <f t="shared" si="280"/>
        <v>0.14896782938526004</v>
      </c>
      <c r="BG183" s="177"/>
      <c r="BH183" s="538">
        <f t="shared" si="281"/>
        <v>7.9223348664568635E-2</v>
      </c>
      <c r="BI183" s="538">
        <f t="shared" si="282"/>
        <v>3.9167999999999988E-2</v>
      </c>
      <c r="BJ183" s="538">
        <f t="shared" si="283"/>
        <v>2.9625671684178111E-3</v>
      </c>
      <c r="BK183" s="538">
        <f t="shared" si="284"/>
        <v>1.1821224328767123E-2</v>
      </c>
      <c r="BL183">
        <f t="shared" si="285"/>
        <v>3.48E-3</v>
      </c>
      <c r="BM183">
        <f t="shared" si="329"/>
        <v>4.1475940357849357E-6</v>
      </c>
      <c r="BN183">
        <f t="shared" si="330"/>
        <v>0.14954022561190011</v>
      </c>
      <c r="BO183" s="469">
        <f t="shared" si="286"/>
        <v>136.65514016175356</v>
      </c>
      <c r="BP183" s="177">
        <f t="shared" si="287"/>
        <v>5.8400000000000001E-2</v>
      </c>
      <c r="BQ183" s="177">
        <f t="shared" si="288"/>
        <v>2.92E-2</v>
      </c>
      <c r="BR183" s="538"/>
      <c r="BT183" s="469">
        <f t="shared" si="289"/>
        <v>87.6</v>
      </c>
      <c r="BU183" s="538">
        <f t="shared" si="290"/>
        <v>2.2635242475591042E-2</v>
      </c>
      <c r="BV183" s="538">
        <f t="shared" si="291"/>
        <v>2.6629697030107133E-3</v>
      </c>
      <c r="BW183" s="538">
        <f t="shared" si="292"/>
        <v>1.1095707095877972E-3</v>
      </c>
      <c r="BX183" s="538">
        <f t="shared" si="293"/>
        <v>0</v>
      </c>
      <c r="BY183" s="538">
        <f t="shared" si="274"/>
        <v>2.9639333561623984E-2</v>
      </c>
      <c r="BZ183" s="538">
        <f t="shared" si="250"/>
        <v>2.6407782888189554E-2</v>
      </c>
      <c r="CA183" s="641">
        <f t="shared" si="331"/>
        <v>1.2977777777777774E-2</v>
      </c>
      <c r="CB183" s="469">
        <f t="shared" si="294"/>
        <v>95.432677115780862</v>
      </c>
      <c r="CC183" s="177">
        <f t="shared" si="251"/>
        <v>0.27975733695130184</v>
      </c>
      <c r="CD183" s="5">
        <f t="shared" si="295"/>
        <v>3.5039999999999996</v>
      </c>
      <c r="CE183" s="177">
        <f t="shared" si="296"/>
        <v>0.92606361559731742</v>
      </c>
      <c r="CF183" s="5">
        <f t="shared" si="297"/>
        <v>92.606361559731738</v>
      </c>
      <c r="CG183">
        <f t="shared" si="298"/>
        <v>72.999999999999986</v>
      </c>
      <c r="CI183" s="571">
        <f t="shared" si="332"/>
        <v>-50</v>
      </c>
      <c r="CJ183">
        <f t="shared" si="333"/>
        <v>-50</v>
      </c>
    </row>
    <row r="184" spans="5:88" x14ac:dyDescent="0.25">
      <c r="E184" s="174">
        <v>74</v>
      </c>
      <c r="F184" s="221">
        <f t="shared" si="334"/>
        <v>0.14799999999999999</v>
      </c>
      <c r="G184" s="221">
        <f t="shared" si="299"/>
        <v>7.3999999999999996E-2</v>
      </c>
      <c r="H184" s="221">
        <f t="shared" si="300"/>
        <v>2.3679999999999999</v>
      </c>
      <c r="I184" s="221">
        <f t="shared" si="301"/>
        <v>1.1839999999999999</v>
      </c>
      <c r="J184" s="551">
        <f t="shared" si="302"/>
        <v>12</v>
      </c>
      <c r="K184" s="451">
        <f t="shared" si="303"/>
        <v>19.584</v>
      </c>
      <c r="L184" s="451">
        <f t="shared" si="304"/>
        <v>31.584</v>
      </c>
      <c r="M184" s="451"/>
      <c r="N184" s="221">
        <f t="shared" si="305"/>
        <v>0.62006079027355621</v>
      </c>
      <c r="O184" s="176">
        <f t="shared" si="306"/>
        <v>3.3483282674772035</v>
      </c>
      <c r="P184" s="176">
        <f t="shared" si="307"/>
        <v>1.6741641337386017</v>
      </c>
      <c r="Q184" s="221">
        <f t="shared" si="308"/>
        <v>0.20927051671732522</v>
      </c>
      <c r="R184" s="221">
        <f t="shared" si="309"/>
        <v>0.20927051671732522</v>
      </c>
      <c r="S184" s="221">
        <f t="shared" si="310"/>
        <v>16</v>
      </c>
      <c r="T184" s="221">
        <f t="shared" si="311"/>
        <v>1.0608278867102394</v>
      </c>
      <c r="U184" s="221">
        <f t="shared" si="312"/>
        <v>2.6520697167755989</v>
      </c>
      <c r="V184" s="221">
        <f t="shared" si="313"/>
        <v>1.6250427186124992</v>
      </c>
      <c r="W184" s="201">
        <f t="shared" si="314"/>
        <v>350</v>
      </c>
      <c r="X184" s="451">
        <f t="shared" si="315"/>
        <v>233.8025981562165</v>
      </c>
      <c r="Z184" s="221">
        <f t="shared" si="316"/>
        <v>0.70864090316977857</v>
      </c>
      <c r="AA184" s="177">
        <f t="shared" si="317"/>
        <v>1.0855405992184108</v>
      </c>
      <c r="AB184" s="177">
        <f t="shared" si="318"/>
        <v>0.1076961858920636</v>
      </c>
      <c r="AC184" s="177"/>
      <c r="AD184" s="177">
        <f t="shared" si="319"/>
        <v>0.4595588235294118</v>
      </c>
      <c r="AE184" s="555">
        <f t="shared" si="320"/>
        <v>2683.7333333333336</v>
      </c>
      <c r="AF184" s="538">
        <f t="shared" si="321"/>
        <v>1.9301470588235291E-2</v>
      </c>
      <c r="AH184" s="177">
        <f t="shared" si="322"/>
        <v>0.82253962127755798</v>
      </c>
      <c r="AI184" s="177">
        <f t="shared" si="323"/>
        <v>1.0608278867102394</v>
      </c>
      <c r="AJ184" s="177">
        <f t="shared" si="324"/>
        <v>1.763576212377955</v>
      </c>
      <c r="AL184" s="555">
        <f t="shared" si="325"/>
        <v>148</v>
      </c>
      <c r="AM184" s="469">
        <f t="shared" si="326"/>
        <v>233.8025981562165</v>
      </c>
      <c r="AO184">
        <f t="shared" si="327"/>
        <v>148</v>
      </c>
      <c r="AP184">
        <f t="shared" si="328"/>
        <v>233.8025981562165</v>
      </c>
      <c r="AR184" s="5">
        <f t="shared" si="249"/>
        <v>4.2771124353880978</v>
      </c>
      <c r="AS184" s="5">
        <f t="shared" si="335"/>
        <v>2.6520697167755989</v>
      </c>
      <c r="AT184" s="5">
        <f t="shared" si="336"/>
        <v>1.6250427186124989</v>
      </c>
      <c r="AU184" s="177">
        <f t="shared" si="337"/>
        <v>0.62006079027355632</v>
      </c>
      <c r="AW184" s="5">
        <f t="shared" si="275"/>
        <v>2.4531644880174288</v>
      </c>
      <c r="AX184" s="5"/>
      <c r="AY184" s="5">
        <f t="shared" si="276"/>
        <v>1.2265822440087144</v>
      </c>
      <c r="AZ184" s="5"/>
      <c r="BA184" s="5">
        <f t="shared" si="277"/>
        <v>0.22269103921726835</v>
      </c>
      <c r="BB184" s="5"/>
      <c r="BC184" s="5"/>
      <c r="BD184" s="177">
        <f t="shared" si="278"/>
        <v>0.48228242414756567</v>
      </c>
      <c r="BE184" s="177">
        <f t="shared" si="279"/>
        <v>0.30201696916463666</v>
      </c>
      <c r="BF184" s="177">
        <f t="shared" si="280"/>
        <v>0.15100848458231833</v>
      </c>
      <c r="BG184" s="177"/>
      <c r="BH184" s="538">
        <f t="shared" si="281"/>
        <v>8.1408717824578355E-2</v>
      </c>
      <c r="BI184" s="538">
        <f t="shared" si="282"/>
        <v>3.9167999999999994E-2</v>
      </c>
      <c r="BJ184" s="538">
        <f t="shared" si="283"/>
        <v>2.9225324769527063E-3</v>
      </c>
      <c r="BK184" s="538">
        <f t="shared" si="284"/>
        <v>1.1661478054054056E-2</v>
      </c>
      <c r="BL184">
        <f t="shared" si="285"/>
        <v>3.48E-3</v>
      </c>
      <c r="BM184">
        <f t="shared" si="329"/>
        <v>4.0915454677337893E-6</v>
      </c>
      <c r="BN184">
        <f t="shared" si="330"/>
        <v>0.15191677282550284</v>
      </c>
      <c r="BO184" s="469">
        <f t="shared" si="286"/>
        <v>138.64072835558514</v>
      </c>
      <c r="BP184" s="177">
        <f t="shared" si="287"/>
        <v>5.9200000000000003E-2</v>
      </c>
      <c r="BQ184" s="177">
        <f t="shared" si="288"/>
        <v>2.9600000000000001E-2</v>
      </c>
      <c r="BR184" s="538"/>
      <c r="BT184" s="469">
        <f t="shared" si="289"/>
        <v>88.8</v>
      </c>
      <c r="BU184" s="538">
        <f t="shared" si="290"/>
        <v>2.3259633664165245E-2</v>
      </c>
      <c r="BV184" s="538">
        <f t="shared" si="291"/>
        <v>2.7364274899017924E-3</v>
      </c>
      <c r="BW184" s="538">
        <f t="shared" si="292"/>
        <v>1.1401781207924136E-3</v>
      </c>
      <c r="BX184" s="538">
        <f t="shared" si="293"/>
        <v>0</v>
      </c>
      <c r="BY184" s="538">
        <f t="shared" si="274"/>
        <v>3.0458710776934319E-2</v>
      </c>
      <c r="BZ184" s="538">
        <f t="shared" si="250"/>
        <v>2.7136239274859451E-2</v>
      </c>
      <c r="CA184" s="641">
        <f t="shared" si="331"/>
        <v>1.3155555555555554E-2</v>
      </c>
      <c r="CB184" s="469">
        <f t="shared" si="294"/>
        <v>97.886744882208774</v>
      </c>
      <c r="CC184" s="177">
        <f t="shared" si="251"/>
        <v>0.28433103915799268</v>
      </c>
      <c r="CD184" s="5">
        <f t="shared" si="295"/>
        <v>3.5519999999999996</v>
      </c>
      <c r="CE184" s="177">
        <f t="shared" si="296"/>
        <v>0.92588464440222074</v>
      </c>
      <c r="CF184" s="5">
        <f t="shared" si="297"/>
        <v>92.588464440222069</v>
      </c>
      <c r="CG184">
        <f t="shared" si="298"/>
        <v>73.999999999999986</v>
      </c>
      <c r="CI184" s="571">
        <f t="shared" si="332"/>
        <v>-50</v>
      </c>
      <c r="CJ184">
        <f t="shared" si="333"/>
        <v>-50</v>
      </c>
    </row>
    <row r="185" spans="5:88" x14ac:dyDescent="0.25">
      <c r="E185" s="174">
        <v>75</v>
      </c>
      <c r="F185" s="221">
        <f t="shared" si="334"/>
        <v>0.15000000000000002</v>
      </c>
      <c r="G185" s="221">
        <f t="shared" si="299"/>
        <v>7.5000000000000011E-2</v>
      </c>
      <c r="H185" s="221">
        <f t="shared" si="300"/>
        <v>2.4000000000000004</v>
      </c>
      <c r="I185" s="221">
        <f t="shared" si="301"/>
        <v>1.2000000000000002</v>
      </c>
      <c r="J185" s="551">
        <f t="shared" si="302"/>
        <v>12</v>
      </c>
      <c r="K185" s="451">
        <f t="shared" si="303"/>
        <v>19.584</v>
      </c>
      <c r="L185" s="451">
        <f t="shared" si="304"/>
        <v>31.584</v>
      </c>
      <c r="M185" s="451"/>
      <c r="N185" s="221">
        <f t="shared" si="305"/>
        <v>0.62006079027355621</v>
      </c>
      <c r="O185" s="176">
        <f t="shared" si="306"/>
        <v>3.3483282674772035</v>
      </c>
      <c r="P185" s="176">
        <f t="shared" si="307"/>
        <v>1.6741641337386017</v>
      </c>
      <c r="Q185" s="221">
        <f t="shared" si="308"/>
        <v>0.20927051671732522</v>
      </c>
      <c r="R185" s="221">
        <f t="shared" si="309"/>
        <v>0.20927051671732522</v>
      </c>
      <c r="S185" s="221">
        <f t="shared" si="310"/>
        <v>16</v>
      </c>
      <c r="T185" s="221">
        <f t="shared" si="311"/>
        <v>1.0751633986928106</v>
      </c>
      <c r="U185" s="221">
        <f t="shared" si="312"/>
        <v>2.6879084967320268</v>
      </c>
      <c r="V185" s="221">
        <f t="shared" si="313"/>
        <v>1.6470027553505064</v>
      </c>
      <c r="W185" s="201">
        <f t="shared" si="314"/>
        <v>350</v>
      </c>
      <c r="X185" s="451">
        <f t="shared" si="315"/>
        <v>230.6852301808002</v>
      </c>
      <c r="Z185" s="221">
        <f t="shared" si="316"/>
        <v>0.70864090316977857</v>
      </c>
      <c r="AA185" s="177">
        <f t="shared" si="317"/>
        <v>1.0855405992184108</v>
      </c>
      <c r="AB185" s="177">
        <f t="shared" si="318"/>
        <v>0.1076961858920636</v>
      </c>
      <c r="AC185" s="177"/>
      <c r="AD185" s="177">
        <f t="shared" si="319"/>
        <v>0.4595588235294118</v>
      </c>
      <c r="AE185" s="555">
        <f t="shared" si="320"/>
        <v>2720.0000000000009</v>
      </c>
      <c r="AF185" s="538">
        <f t="shared" si="321"/>
        <v>1.9301470588235291E-2</v>
      </c>
      <c r="AH185" s="177">
        <f t="shared" si="322"/>
        <v>0.82807867121082512</v>
      </c>
      <c r="AI185" s="177">
        <f t="shared" si="323"/>
        <v>1.0751633986928106</v>
      </c>
      <c r="AJ185" s="177">
        <f t="shared" si="324"/>
        <v>1.7741951101428226</v>
      </c>
      <c r="AL185" s="555">
        <f t="shared" si="325"/>
        <v>150.00000000000003</v>
      </c>
      <c r="AM185" s="469">
        <f t="shared" si="326"/>
        <v>230.6852301808002</v>
      </c>
      <c r="AO185">
        <f t="shared" si="327"/>
        <v>150.00000000000003</v>
      </c>
      <c r="AP185">
        <f t="shared" si="328"/>
        <v>230.6852301808002</v>
      </c>
      <c r="AR185" s="5">
        <f t="shared" si="249"/>
        <v>4.3349112520825335</v>
      </c>
      <c r="AS185" s="5">
        <f t="shared" si="335"/>
        <v>2.6879084967320268</v>
      </c>
      <c r="AT185" s="5">
        <f t="shared" si="336"/>
        <v>1.6470027553505067</v>
      </c>
      <c r="AU185" s="177">
        <f t="shared" si="337"/>
        <v>0.62006079027355621</v>
      </c>
      <c r="AW185" s="5">
        <f t="shared" si="275"/>
        <v>2.5199142156862755</v>
      </c>
      <c r="AX185" s="5"/>
      <c r="AY185" s="5">
        <f t="shared" si="276"/>
        <v>1.2599571078431377</v>
      </c>
      <c r="AZ185" s="5"/>
      <c r="BA185" s="5">
        <f t="shared" si="277"/>
        <v>0.22875038268757036</v>
      </c>
      <c r="BB185" s="5"/>
      <c r="BC185" s="5"/>
      <c r="BD185" s="177">
        <f t="shared" si="278"/>
        <v>0.48879975420361405</v>
      </c>
      <c r="BE185" s="177">
        <f t="shared" si="279"/>
        <v>0.30609827955875346</v>
      </c>
      <c r="BF185" s="177">
        <f t="shared" si="280"/>
        <v>0.15304913977937673</v>
      </c>
      <c r="BG185" s="177"/>
      <c r="BH185" s="538">
        <f t="shared" si="281"/>
        <v>8.3623819898329718E-2</v>
      </c>
      <c r="BI185" s="538">
        <f t="shared" si="282"/>
        <v>3.9168000000000001E-2</v>
      </c>
      <c r="BJ185" s="538">
        <f t="shared" si="283"/>
        <v>2.8835653772600026E-3</v>
      </c>
      <c r="BK185" s="538">
        <f t="shared" si="284"/>
        <v>1.1505991679999997E-2</v>
      </c>
      <c r="BL185">
        <f t="shared" si="285"/>
        <v>3.48E-3</v>
      </c>
      <c r="BM185">
        <f t="shared" si="329"/>
        <v>4.0369915281640036E-6</v>
      </c>
      <c r="BN185">
        <f t="shared" si="330"/>
        <v>0.15433581437202801</v>
      </c>
      <c r="BO185" s="469">
        <f t="shared" si="286"/>
        <v>140.66137695558973</v>
      </c>
      <c r="BP185" s="177">
        <f t="shared" si="287"/>
        <v>6.0000000000000012E-2</v>
      </c>
      <c r="BQ185" s="177">
        <f t="shared" si="288"/>
        <v>3.0000000000000006E-2</v>
      </c>
      <c r="BR185" s="538"/>
      <c r="BT185" s="469">
        <f t="shared" si="289"/>
        <v>90.000000000000028</v>
      </c>
      <c r="BU185" s="538">
        <f t="shared" si="290"/>
        <v>2.3892519970951352E-2</v>
      </c>
      <c r="BV185" s="538">
        <f t="shared" si="291"/>
        <v>2.8108847024648637E-3</v>
      </c>
      <c r="BW185" s="538">
        <f t="shared" si="292"/>
        <v>1.17120195936036E-3</v>
      </c>
      <c r="BX185" s="538">
        <f t="shared" si="293"/>
        <v>0</v>
      </c>
      <c r="BY185" s="538">
        <f t="shared" si="274"/>
        <v>3.1289333658111491E-2</v>
      </c>
      <c r="BZ185" s="538">
        <f t="shared" si="250"/>
        <v>2.7874606632776574E-2</v>
      </c>
      <c r="CA185" s="641">
        <f t="shared" si="331"/>
        <v>1.3333333333333336E-2</v>
      </c>
      <c r="CB185" s="469">
        <f t="shared" si="294"/>
        <v>100.37188025699797</v>
      </c>
      <c r="CC185" s="177">
        <f t="shared" si="251"/>
        <v>0.28895848136347291</v>
      </c>
      <c r="CD185" s="5">
        <f t="shared" si="295"/>
        <v>3.6000000000000005</v>
      </c>
      <c r="CE185" s="177">
        <f t="shared" si="296"/>
        <v>0.92569772016126961</v>
      </c>
      <c r="CF185" s="5">
        <f t="shared" si="297"/>
        <v>92.569772016126961</v>
      </c>
      <c r="CG185">
        <f t="shared" si="298"/>
        <v>75.000000000000014</v>
      </c>
      <c r="CI185" s="571">
        <f t="shared" si="332"/>
        <v>-50</v>
      </c>
      <c r="CJ185">
        <f t="shared" si="333"/>
        <v>-50</v>
      </c>
    </row>
    <row r="186" spans="5:88" x14ac:dyDescent="0.25">
      <c r="E186" s="174">
        <v>76</v>
      </c>
      <c r="F186" s="221">
        <f t="shared" si="334"/>
        <v>0.15200000000000002</v>
      </c>
      <c r="G186" s="221">
        <f t="shared" si="299"/>
        <v>7.6000000000000012E-2</v>
      </c>
      <c r="H186" s="221">
        <f t="shared" si="300"/>
        <v>2.4320000000000004</v>
      </c>
      <c r="I186" s="221">
        <f t="shared" si="301"/>
        <v>1.2160000000000002</v>
      </c>
      <c r="J186" s="551">
        <f t="shared" si="302"/>
        <v>12</v>
      </c>
      <c r="K186" s="451">
        <f t="shared" si="303"/>
        <v>19.584</v>
      </c>
      <c r="L186" s="451">
        <f t="shared" si="304"/>
        <v>31.584</v>
      </c>
      <c r="M186" s="451"/>
      <c r="N186" s="221">
        <f t="shared" si="305"/>
        <v>0.62006079027355621</v>
      </c>
      <c r="O186" s="176">
        <f t="shared" si="306"/>
        <v>3.3483282674772035</v>
      </c>
      <c r="P186" s="176">
        <f t="shared" si="307"/>
        <v>1.6741641337386017</v>
      </c>
      <c r="Q186" s="221">
        <f t="shared" si="308"/>
        <v>0.20927051671732522</v>
      </c>
      <c r="R186" s="221">
        <f t="shared" si="309"/>
        <v>0.20927051671732522</v>
      </c>
      <c r="S186" s="221">
        <f t="shared" si="310"/>
        <v>16</v>
      </c>
      <c r="T186" s="221">
        <f t="shared" si="311"/>
        <v>1.0894989106753814</v>
      </c>
      <c r="U186" s="221">
        <f t="shared" si="312"/>
        <v>2.7237472766884534</v>
      </c>
      <c r="V186" s="221">
        <f t="shared" si="313"/>
        <v>1.6689627920885133</v>
      </c>
      <c r="W186" s="201">
        <f t="shared" si="314"/>
        <v>350</v>
      </c>
      <c r="X186" s="451">
        <f t="shared" si="315"/>
        <v>227.64989820473707</v>
      </c>
      <c r="Z186" s="221">
        <f t="shared" si="316"/>
        <v>0.70864090316977857</v>
      </c>
      <c r="AA186" s="177">
        <f t="shared" si="317"/>
        <v>1.0855405992184108</v>
      </c>
      <c r="AB186" s="177">
        <f t="shared" si="318"/>
        <v>0.1076961858920636</v>
      </c>
      <c r="AC186" s="177"/>
      <c r="AD186" s="177">
        <f t="shared" si="319"/>
        <v>0.4595588235294118</v>
      </c>
      <c r="AE186" s="555">
        <f t="shared" si="320"/>
        <v>2756.2666666666678</v>
      </c>
      <c r="AF186" s="538">
        <f t="shared" si="321"/>
        <v>1.9301470588235291E-2</v>
      </c>
      <c r="AH186" s="177">
        <f t="shared" si="322"/>
        <v>0.83358091560276437</v>
      </c>
      <c r="AI186" s="177">
        <f t="shared" si="323"/>
        <v>1.0894989106753814</v>
      </c>
      <c r="AJ186" s="177">
        <f t="shared" si="324"/>
        <v>1.78481400790769</v>
      </c>
      <c r="AL186" s="555">
        <f t="shared" si="325"/>
        <v>152.00000000000003</v>
      </c>
      <c r="AM186" s="469">
        <f t="shared" si="326"/>
        <v>227.64989820473707</v>
      </c>
      <c r="AO186">
        <f t="shared" si="327"/>
        <v>152.00000000000003</v>
      </c>
      <c r="AP186">
        <f t="shared" si="328"/>
        <v>227.64989820473707</v>
      </c>
      <c r="AR186" s="5">
        <f t="shared" si="249"/>
        <v>4.3927100687769665</v>
      </c>
      <c r="AS186" s="5">
        <f t="shared" si="335"/>
        <v>2.7237472766884534</v>
      </c>
      <c r="AT186" s="5">
        <f t="shared" si="336"/>
        <v>1.6689627920885131</v>
      </c>
      <c r="AU186" s="177">
        <f t="shared" si="337"/>
        <v>0.62006079027355621</v>
      </c>
      <c r="AW186" s="5">
        <f t="shared" si="275"/>
        <v>2.5875599128540312</v>
      </c>
      <c r="AX186" s="5"/>
      <c r="AY186" s="5">
        <f t="shared" si="276"/>
        <v>1.2937799564270156</v>
      </c>
      <c r="AZ186" s="5"/>
      <c r="BA186" s="5">
        <f t="shared" si="277"/>
        <v>0.23489105962727228</v>
      </c>
      <c r="BB186" s="5"/>
      <c r="BC186" s="5"/>
      <c r="BD186" s="177">
        <f t="shared" si="278"/>
        <v>0.49531708425966225</v>
      </c>
      <c r="BE186" s="177">
        <f t="shared" si="279"/>
        <v>0.3101795899528702</v>
      </c>
      <c r="BF186" s="177">
        <f t="shared" si="280"/>
        <v>0.1550897949764351</v>
      </c>
      <c r="BG186" s="177"/>
      <c r="BH186" s="538">
        <f t="shared" si="281"/>
        <v>8.5868654885822668E-2</v>
      </c>
      <c r="BI186" s="538">
        <f t="shared" si="282"/>
        <v>3.9167999999999994E-2</v>
      </c>
      <c r="BJ186" s="538">
        <f t="shared" si="283"/>
        <v>2.8456237275592132E-3</v>
      </c>
      <c r="BK186" s="538">
        <f t="shared" si="284"/>
        <v>1.1354597052631577E-2</v>
      </c>
      <c r="BL186">
        <f t="shared" si="285"/>
        <v>3.48E-3</v>
      </c>
      <c r="BM186">
        <f t="shared" si="329"/>
        <v>3.9838732185828994E-6</v>
      </c>
      <c r="BN186">
        <f t="shared" si="330"/>
        <v>0.15679722990117317</v>
      </c>
      <c r="BO186" s="469">
        <f t="shared" si="286"/>
        <v>142.71687566601349</v>
      </c>
      <c r="BP186" s="177">
        <f t="shared" si="287"/>
        <v>6.0800000000000014E-2</v>
      </c>
      <c r="BQ186" s="177">
        <f t="shared" si="288"/>
        <v>3.0400000000000007E-2</v>
      </c>
      <c r="BR186" s="538"/>
      <c r="BT186" s="469">
        <f t="shared" si="289"/>
        <v>91.200000000000017</v>
      </c>
      <c r="BU186" s="538">
        <f t="shared" si="290"/>
        <v>2.453390139594934E-2</v>
      </c>
      <c r="BV186" s="538">
        <f t="shared" si="291"/>
        <v>2.8863413406999207E-3</v>
      </c>
      <c r="BW186" s="538">
        <f t="shared" si="292"/>
        <v>1.2026422252916337E-3</v>
      </c>
      <c r="BX186" s="538">
        <f t="shared" si="293"/>
        <v>0</v>
      </c>
      <c r="BY186" s="538">
        <f t="shared" si="274"/>
        <v>3.2131206182834576E-2</v>
      </c>
      <c r="BZ186" s="538">
        <f t="shared" si="250"/>
        <v>2.8622884961940893E-2</v>
      </c>
      <c r="CA186" s="641">
        <f t="shared" si="331"/>
        <v>1.3511111111111114E-2</v>
      </c>
      <c r="CB186" s="469">
        <f t="shared" si="294"/>
        <v>102.88808721782746</v>
      </c>
      <c r="CC186" s="177">
        <f t="shared" si="251"/>
        <v>0.29363954719511892</v>
      </c>
      <c r="CD186" s="5">
        <f t="shared" si="295"/>
        <v>3.6480000000000006</v>
      </c>
      <c r="CE186" s="177">
        <f t="shared" si="296"/>
        <v>0.92550319640362011</v>
      </c>
      <c r="CF186" s="5">
        <f t="shared" si="297"/>
        <v>92.550319640362005</v>
      </c>
      <c r="CG186">
        <f t="shared" si="298"/>
        <v>76.000000000000014</v>
      </c>
      <c r="CI186" s="571">
        <f t="shared" si="332"/>
        <v>-50</v>
      </c>
      <c r="CJ186">
        <f t="shared" si="333"/>
        <v>-50</v>
      </c>
    </row>
    <row r="187" spans="5:88" x14ac:dyDescent="0.25">
      <c r="E187" s="174">
        <v>77</v>
      </c>
      <c r="F187" s="221">
        <f t="shared" si="334"/>
        <v>0.15400000000000003</v>
      </c>
      <c r="G187" s="221">
        <f t="shared" si="299"/>
        <v>7.7000000000000013E-2</v>
      </c>
      <c r="H187" s="221">
        <f t="shared" si="300"/>
        <v>2.4640000000000004</v>
      </c>
      <c r="I187" s="221">
        <f t="shared" si="301"/>
        <v>1.2320000000000002</v>
      </c>
      <c r="J187" s="551">
        <f t="shared" si="302"/>
        <v>12</v>
      </c>
      <c r="K187" s="451">
        <f t="shared" si="303"/>
        <v>19.584</v>
      </c>
      <c r="L187" s="451">
        <f t="shared" si="304"/>
        <v>31.584</v>
      </c>
      <c r="M187" s="451"/>
      <c r="N187" s="221">
        <f t="shared" si="305"/>
        <v>0.62006079027355621</v>
      </c>
      <c r="O187" s="176">
        <f t="shared" si="306"/>
        <v>3.3483282674772035</v>
      </c>
      <c r="P187" s="176">
        <f t="shared" si="307"/>
        <v>1.6741641337386017</v>
      </c>
      <c r="Q187" s="221">
        <f t="shared" si="308"/>
        <v>0.20927051671732522</v>
      </c>
      <c r="R187" s="221">
        <f t="shared" si="309"/>
        <v>0.20927051671732522</v>
      </c>
      <c r="S187" s="221">
        <f t="shared" si="310"/>
        <v>16</v>
      </c>
      <c r="T187" s="221">
        <f t="shared" si="311"/>
        <v>1.1038344226579522</v>
      </c>
      <c r="U187" s="221">
        <f t="shared" si="312"/>
        <v>2.7595860566448804</v>
      </c>
      <c r="V187" s="221">
        <f t="shared" si="313"/>
        <v>1.6909228288265199</v>
      </c>
      <c r="W187" s="201">
        <f t="shared" si="314"/>
        <v>350</v>
      </c>
      <c r="X187" s="451">
        <f t="shared" si="315"/>
        <v>224.69340602025997</v>
      </c>
      <c r="Z187" s="221">
        <f t="shared" si="316"/>
        <v>0.70864090316977857</v>
      </c>
      <c r="AA187" s="177">
        <f t="shared" si="317"/>
        <v>1.0855405992184108</v>
      </c>
      <c r="AB187" s="177">
        <f t="shared" si="318"/>
        <v>0.1076961858920636</v>
      </c>
      <c r="AC187" s="177"/>
      <c r="AD187" s="177">
        <f t="shared" si="319"/>
        <v>0.4595588235294118</v>
      </c>
      <c r="AE187" s="555">
        <f t="shared" si="320"/>
        <v>2792.5333333333347</v>
      </c>
      <c r="AF187" s="538">
        <f t="shared" si="321"/>
        <v>1.9301470588235291E-2</v>
      </c>
      <c r="AH187" s="177">
        <f t="shared" si="322"/>
        <v>0.83904707853612126</v>
      </c>
      <c r="AI187" s="177">
        <f t="shared" si="323"/>
        <v>1.1038344226579522</v>
      </c>
      <c r="AJ187" s="177">
        <f t="shared" si="324"/>
        <v>1.7954329056725571</v>
      </c>
      <c r="AL187" s="555">
        <f t="shared" si="325"/>
        <v>154.00000000000003</v>
      </c>
      <c r="AM187" s="469">
        <f t="shared" si="326"/>
        <v>224.69340602025997</v>
      </c>
      <c r="AO187">
        <f t="shared" si="327"/>
        <v>154.00000000000003</v>
      </c>
      <c r="AP187">
        <f t="shared" si="328"/>
        <v>224.69340602025997</v>
      </c>
      <c r="AR187" s="5">
        <f t="shared" si="249"/>
        <v>4.4505088854714003</v>
      </c>
      <c r="AS187" s="5">
        <f t="shared" si="335"/>
        <v>2.7595860566448804</v>
      </c>
      <c r="AT187" s="5">
        <f t="shared" si="336"/>
        <v>1.6909228288265199</v>
      </c>
      <c r="AU187" s="177">
        <f t="shared" si="337"/>
        <v>0.62006079027355621</v>
      </c>
      <c r="AW187" s="5">
        <f t="shared" si="275"/>
        <v>2.6561015795206977</v>
      </c>
      <c r="AX187" s="5"/>
      <c r="AY187" s="5">
        <f t="shared" si="276"/>
        <v>1.3280507897603488</v>
      </c>
      <c r="AZ187" s="5"/>
      <c r="BA187" s="5">
        <f t="shared" si="277"/>
        <v>0.24111307003637417</v>
      </c>
      <c r="BB187" s="5"/>
      <c r="BC187" s="5"/>
      <c r="BD187" s="177">
        <f t="shared" si="278"/>
        <v>0.50183441431571041</v>
      </c>
      <c r="BE187" s="177">
        <f t="shared" si="279"/>
        <v>0.31426090034698689</v>
      </c>
      <c r="BF187" s="177">
        <f t="shared" si="280"/>
        <v>0.15713045017349345</v>
      </c>
      <c r="BG187" s="177"/>
      <c r="BH187" s="538">
        <f t="shared" si="281"/>
        <v>8.8143222787057218E-2</v>
      </c>
      <c r="BI187" s="538">
        <f t="shared" si="282"/>
        <v>3.9168000000000001E-2</v>
      </c>
      <c r="BJ187" s="538">
        <f t="shared" si="283"/>
        <v>2.8086675752532495E-3</v>
      </c>
      <c r="BK187" s="538">
        <f t="shared" si="284"/>
        <v>1.1207134753246754E-2</v>
      </c>
      <c r="BL187">
        <f t="shared" si="285"/>
        <v>3.48E-3</v>
      </c>
      <c r="BM187">
        <f t="shared" si="329"/>
        <v>3.9321346053545494E-6</v>
      </c>
      <c r="BN187">
        <f t="shared" si="330"/>
        <v>0.15930091138723243</v>
      </c>
      <c r="BO187" s="469">
        <f t="shared" si="286"/>
        <v>144.80702511555722</v>
      </c>
      <c r="BP187" s="177">
        <f t="shared" si="287"/>
        <v>6.1600000000000016E-2</v>
      </c>
      <c r="BQ187" s="177">
        <f t="shared" si="288"/>
        <v>3.0800000000000008E-2</v>
      </c>
      <c r="BR187" s="538"/>
      <c r="BT187" s="469">
        <f t="shared" si="289"/>
        <v>92.40000000000002</v>
      </c>
      <c r="BU187" s="538">
        <f t="shared" si="290"/>
        <v>2.518377793915921E-2</v>
      </c>
      <c r="BV187" s="538">
        <f t="shared" si="291"/>
        <v>2.9627974046069648E-3</v>
      </c>
      <c r="BW187" s="538">
        <f t="shared" si="292"/>
        <v>1.2344989185862354E-3</v>
      </c>
      <c r="BX187" s="538">
        <f t="shared" si="293"/>
        <v>0</v>
      </c>
      <c r="BY187" s="538">
        <f t="shared" si="274"/>
        <v>3.2984332383374705E-2</v>
      </c>
      <c r="BZ187" s="538">
        <f t="shared" si="250"/>
        <v>2.9381074262352411E-2</v>
      </c>
      <c r="CA187" s="641">
        <f t="shared" si="331"/>
        <v>1.3688888888888891E-2</v>
      </c>
      <c r="CB187" s="469">
        <f t="shared" si="294"/>
        <v>105.4353697969684</v>
      </c>
      <c r="CC187" s="177">
        <f t="shared" si="251"/>
        <v>0.29837413265949608</v>
      </c>
      <c r="CD187" s="5">
        <f t="shared" si="295"/>
        <v>3.6960000000000006</v>
      </c>
      <c r="CE187" s="177">
        <f t="shared" si="296"/>
        <v>0.92530140573966824</v>
      </c>
      <c r="CF187" s="5">
        <f t="shared" si="297"/>
        <v>92.530140573966818</v>
      </c>
      <c r="CG187">
        <f t="shared" si="298"/>
        <v>77.000000000000014</v>
      </c>
      <c r="CI187" s="571">
        <f t="shared" si="332"/>
        <v>-50</v>
      </c>
      <c r="CJ187">
        <f t="shared" si="333"/>
        <v>-50</v>
      </c>
    </row>
    <row r="188" spans="5:88" x14ac:dyDescent="0.25">
      <c r="E188" s="174">
        <v>78</v>
      </c>
      <c r="F188" s="221">
        <f t="shared" si="334"/>
        <v>0.15600000000000003</v>
      </c>
      <c r="G188" s="221">
        <f t="shared" si="299"/>
        <v>7.8000000000000014E-2</v>
      </c>
      <c r="H188" s="221">
        <f t="shared" si="300"/>
        <v>2.4960000000000004</v>
      </c>
      <c r="I188" s="221">
        <f t="shared" si="301"/>
        <v>1.2480000000000002</v>
      </c>
      <c r="J188" s="551">
        <f t="shared" si="302"/>
        <v>12</v>
      </c>
      <c r="K188" s="451">
        <f t="shared" si="303"/>
        <v>19.584</v>
      </c>
      <c r="L188" s="451">
        <f t="shared" si="304"/>
        <v>31.584</v>
      </c>
      <c r="M188" s="451"/>
      <c r="N188" s="221">
        <f t="shared" si="305"/>
        <v>0.62006079027355621</v>
      </c>
      <c r="O188" s="176">
        <f t="shared" si="306"/>
        <v>3.3483282674772035</v>
      </c>
      <c r="P188" s="176">
        <f t="shared" si="307"/>
        <v>1.6741641337386017</v>
      </c>
      <c r="Q188" s="221">
        <f t="shared" si="308"/>
        <v>0.20927051671732522</v>
      </c>
      <c r="R188" s="221">
        <f t="shared" si="309"/>
        <v>0.20927051671732522</v>
      </c>
      <c r="S188" s="221">
        <f t="shared" si="310"/>
        <v>16</v>
      </c>
      <c r="T188" s="221">
        <f t="shared" si="311"/>
        <v>1.1181699346405229</v>
      </c>
      <c r="U188" s="221">
        <f t="shared" si="312"/>
        <v>2.7954248366013075</v>
      </c>
      <c r="V188" s="221">
        <f t="shared" si="313"/>
        <v>1.7128828655645267</v>
      </c>
      <c r="W188" s="201">
        <f t="shared" si="314"/>
        <v>350</v>
      </c>
      <c r="X188" s="451">
        <f t="shared" si="315"/>
        <v>221.81272132769254</v>
      </c>
      <c r="Z188" s="221">
        <f t="shared" si="316"/>
        <v>0.70864090316977857</v>
      </c>
      <c r="AA188" s="177">
        <f t="shared" si="317"/>
        <v>1.0855405992184108</v>
      </c>
      <c r="AB188" s="177">
        <f t="shared" si="318"/>
        <v>0.1076961858920636</v>
      </c>
      <c r="AC188" s="177"/>
      <c r="AD188" s="177">
        <f t="shared" si="319"/>
        <v>0.4595588235294118</v>
      </c>
      <c r="AE188" s="555">
        <f t="shared" si="320"/>
        <v>2828.8000000000011</v>
      </c>
      <c r="AF188" s="538">
        <f t="shared" si="321"/>
        <v>1.9301470588235291E-2</v>
      </c>
      <c r="AH188" s="177">
        <f t="shared" si="322"/>
        <v>0.84447786065879626</v>
      </c>
      <c r="AI188" s="177">
        <f t="shared" si="323"/>
        <v>1.1181699346405229</v>
      </c>
      <c r="AJ188" s="177">
        <f t="shared" si="324"/>
        <v>1.8060518034374242</v>
      </c>
      <c r="AL188" s="555">
        <f t="shared" si="325"/>
        <v>156.00000000000003</v>
      </c>
      <c r="AM188" s="469">
        <f t="shared" si="326"/>
        <v>221.81272132769254</v>
      </c>
      <c r="AO188">
        <f t="shared" si="327"/>
        <v>156.00000000000003</v>
      </c>
      <c r="AP188">
        <f t="shared" si="328"/>
        <v>221.81272132769254</v>
      </c>
      <c r="AR188" s="5">
        <f t="shared" si="249"/>
        <v>4.5083077021658333</v>
      </c>
      <c r="AS188" s="5">
        <f t="shared" si="335"/>
        <v>2.7954248366013075</v>
      </c>
      <c r="AT188" s="5">
        <f t="shared" si="336"/>
        <v>1.7128828655645258</v>
      </c>
      <c r="AU188" s="177">
        <f t="shared" si="337"/>
        <v>0.62006079027355632</v>
      </c>
      <c r="AW188" s="5">
        <f t="shared" si="275"/>
        <v>2.725539215686275</v>
      </c>
      <c r="AX188" s="5"/>
      <c r="AY188" s="5">
        <f t="shared" si="276"/>
        <v>1.3627696078431375</v>
      </c>
      <c r="AZ188" s="5"/>
      <c r="BA188" s="5">
        <f t="shared" si="277"/>
        <v>0.24741641391487601</v>
      </c>
      <c r="BB188" s="5"/>
      <c r="BC188" s="5"/>
      <c r="BD188" s="177">
        <f t="shared" si="278"/>
        <v>0.50835174437175856</v>
      </c>
      <c r="BE188" s="177">
        <f t="shared" si="279"/>
        <v>0.31834221074110358</v>
      </c>
      <c r="BF188" s="177">
        <f t="shared" si="280"/>
        <v>0.15917110537055179</v>
      </c>
      <c r="BG188" s="177"/>
      <c r="BH188" s="538">
        <f t="shared" si="281"/>
        <v>9.0447523602033411E-2</v>
      </c>
      <c r="BI188" s="538">
        <f t="shared" si="282"/>
        <v>3.9168000000000008E-2</v>
      </c>
      <c r="BJ188" s="538">
        <f t="shared" si="283"/>
        <v>2.7726590165961565E-3</v>
      </c>
      <c r="BK188" s="538">
        <f t="shared" si="284"/>
        <v>1.1063453538461538E-2</v>
      </c>
      <c r="BL188">
        <f t="shared" si="285"/>
        <v>3.48E-3</v>
      </c>
      <c r="BM188">
        <f t="shared" si="329"/>
        <v>3.8817226232346197E-6</v>
      </c>
      <c r="BN188">
        <f t="shared" si="330"/>
        <v>0.16184676243665555</v>
      </c>
      <c r="BO188" s="469">
        <f t="shared" si="286"/>
        <v>146.93163615709113</v>
      </c>
      <c r="BP188" s="177">
        <f t="shared" si="287"/>
        <v>6.2400000000000011E-2</v>
      </c>
      <c r="BQ188" s="177">
        <f t="shared" si="288"/>
        <v>3.1200000000000006E-2</v>
      </c>
      <c r="BR188" s="538"/>
      <c r="BT188" s="469">
        <f t="shared" si="289"/>
        <v>93.600000000000023</v>
      </c>
      <c r="BU188" s="538">
        <f t="shared" si="290"/>
        <v>2.5842149600580979E-2</v>
      </c>
      <c r="BV188" s="538">
        <f t="shared" si="291"/>
        <v>3.0402528941859959E-3</v>
      </c>
      <c r="BW188" s="538">
        <f t="shared" si="292"/>
        <v>1.2667720392441652E-3</v>
      </c>
      <c r="BX188" s="538">
        <f t="shared" si="293"/>
        <v>0</v>
      </c>
      <c r="BY188" s="538">
        <f t="shared" si="274"/>
        <v>3.3848716346643458E-2</v>
      </c>
      <c r="BZ188" s="538">
        <f t="shared" si="250"/>
        <v>3.0149174534011142E-2</v>
      </c>
      <c r="CA188" s="641">
        <f t="shared" si="331"/>
        <v>1.3866666666666669E-2</v>
      </c>
      <c r="CB188" s="469">
        <f t="shared" si="294"/>
        <v>108.01373208133242</v>
      </c>
      <c r="CC188" s="177">
        <f t="shared" si="251"/>
        <v>0.30316214544996567</v>
      </c>
      <c r="CD188" s="5">
        <f t="shared" si="295"/>
        <v>3.7440000000000007</v>
      </c>
      <c r="CE188" s="177">
        <f t="shared" si="296"/>
        <v>0.92509266133782253</v>
      </c>
      <c r="CF188" s="5">
        <f t="shared" si="297"/>
        <v>92.509266133782248</v>
      </c>
      <c r="CG188">
        <f t="shared" si="298"/>
        <v>78.000000000000014</v>
      </c>
      <c r="CI188" s="571">
        <f t="shared" si="332"/>
        <v>-50</v>
      </c>
      <c r="CJ188">
        <f t="shared" si="333"/>
        <v>-50</v>
      </c>
    </row>
    <row r="189" spans="5:88" x14ac:dyDescent="0.25">
      <c r="E189" s="174">
        <v>79</v>
      </c>
      <c r="F189" s="221">
        <f t="shared" si="334"/>
        <v>0.15800000000000003</v>
      </c>
      <c r="G189" s="221">
        <f t="shared" si="299"/>
        <v>7.9000000000000015E-2</v>
      </c>
      <c r="H189" s="221">
        <f t="shared" si="300"/>
        <v>2.5280000000000005</v>
      </c>
      <c r="I189" s="221">
        <f t="shared" si="301"/>
        <v>1.2640000000000002</v>
      </c>
      <c r="J189" s="551">
        <f t="shared" si="302"/>
        <v>12</v>
      </c>
      <c r="K189" s="451">
        <f t="shared" si="303"/>
        <v>19.584</v>
      </c>
      <c r="L189" s="451">
        <f t="shared" si="304"/>
        <v>31.584</v>
      </c>
      <c r="M189" s="451"/>
      <c r="N189" s="221">
        <f t="shared" si="305"/>
        <v>0.62006079027355621</v>
      </c>
      <c r="O189" s="176">
        <f t="shared" si="306"/>
        <v>3.3483282674772035</v>
      </c>
      <c r="P189" s="176">
        <f t="shared" si="307"/>
        <v>1.6741641337386017</v>
      </c>
      <c r="Q189" s="221">
        <f t="shared" si="308"/>
        <v>0.20927051671732522</v>
      </c>
      <c r="R189" s="221">
        <f t="shared" si="309"/>
        <v>0.20927051671732522</v>
      </c>
      <c r="S189" s="221">
        <f t="shared" si="310"/>
        <v>16</v>
      </c>
      <c r="T189" s="221">
        <f t="shared" si="311"/>
        <v>1.1325054466230937</v>
      </c>
      <c r="U189" s="221">
        <f t="shared" si="312"/>
        <v>2.8312636165577341</v>
      </c>
      <c r="V189" s="221">
        <f t="shared" si="313"/>
        <v>1.7348429023025331</v>
      </c>
      <c r="W189" s="201">
        <f t="shared" si="314"/>
        <v>350</v>
      </c>
      <c r="X189" s="451">
        <f t="shared" si="315"/>
        <v>219.00496536151923</v>
      </c>
      <c r="Z189" s="221">
        <f t="shared" si="316"/>
        <v>0.70864090316977857</v>
      </c>
      <c r="AA189" s="177">
        <f t="shared" si="317"/>
        <v>1.0855405992184108</v>
      </c>
      <c r="AB189" s="177">
        <f t="shared" si="318"/>
        <v>0.1076961858920636</v>
      </c>
      <c r="AC189" s="177"/>
      <c r="AD189" s="177">
        <f t="shared" si="319"/>
        <v>0.4595588235294118</v>
      </c>
      <c r="AE189" s="555">
        <f t="shared" si="320"/>
        <v>2865.0666666666675</v>
      </c>
      <c r="AF189" s="538">
        <f t="shared" si="321"/>
        <v>1.9301470588235291E-2</v>
      </c>
      <c r="AH189" s="177">
        <f t="shared" si="322"/>
        <v>0.84987394023214669</v>
      </c>
      <c r="AI189" s="177">
        <f t="shared" si="323"/>
        <v>1.1325054466230937</v>
      </c>
      <c r="AJ189" s="177">
        <f t="shared" si="324"/>
        <v>1.8166707012022916</v>
      </c>
      <c r="AL189" s="555">
        <f t="shared" si="325"/>
        <v>158.00000000000003</v>
      </c>
      <c r="AM189" s="469">
        <f t="shared" si="326"/>
        <v>219.00496536151923</v>
      </c>
      <c r="AO189">
        <f t="shared" si="327"/>
        <v>158.00000000000003</v>
      </c>
      <c r="AP189">
        <f t="shared" si="328"/>
        <v>219.00496536151923</v>
      </c>
      <c r="AR189" s="5">
        <f t="shared" si="249"/>
        <v>4.5661065188602672</v>
      </c>
      <c r="AS189" s="5">
        <f t="shared" si="335"/>
        <v>2.8312636165577341</v>
      </c>
      <c r="AT189" s="5">
        <f t="shared" si="336"/>
        <v>1.7348429023025331</v>
      </c>
      <c r="AU189" s="177">
        <f t="shared" si="337"/>
        <v>0.62006079027355621</v>
      </c>
      <c r="AW189" s="5">
        <f t="shared" si="275"/>
        <v>2.7958728213507631</v>
      </c>
      <c r="AX189" s="5"/>
      <c r="AY189" s="5">
        <f t="shared" si="276"/>
        <v>1.3979364106753815</v>
      </c>
      <c r="AZ189" s="5"/>
      <c r="BA189" s="5">
        <f t="shared" si="277"/>
        <v>0.253801091262778</v>
      </c>
      <c r="BB189" s="5"/>
      <c r="BC189" s="5"/>
      <c r="BD189" s="177">
        <f t="shared" si="278"/>
        <v>0.51486907442780672</v>
      </c>
      <c r="BE189" s="177">
        <f t="shared" si="279"/>
        <v>0.32242352113522033</v>
      </c>
      <c r="BF189" s="177">
        <f t="shared" si="280"/>
        <v>0.16121176056761016</v>
      </c>
      <c r="BG189" s="177"/>
      <c r="BH189" s="538">
        <f t="shared" si="281"/>
        <v>9.2781557330751233E-2</v>
      </c>
      <c r="BI189" s="538">
        <f t="shared" si="282"/>
        <v>3.9167999999999994E-2</v>
      </c>
      <c r="BJ189" s="538">
        <f t="shared" si="283"/>
        <v>2.73756206701899E-3</v>
      </c>
      <c r="BK189" s="538">
        <f t="shared" si="284"/>
        <v>1.0923409822784811E-2</v>
      </c>
      <c r="BL189">
        <f t="shared" si="285"/>
        <v>3.48E-3</v>
      </c>
      <c r="BM189">
        <f t="shared" si="329"/>
        <v>3.8325868938265866E-6</v>
      </c>
      <c r="BN189">
        <f t="shared" si="330"/>
        <v>0.16443469764894661</v>
      </c>
      <c r="BO189" s="469">
        <f t="shared" si="286"/>
        <v>149.09052922055506</v>
      </c>
      <c r="BP189" s="177">
        <f t="shared" si="287"/>
        <v>6.320000000000002E-2</v>
      </c>
      <c r="BQ189" s="177">
        <f t="shared" si="288"/>
        <v>3.160000000000001E-2</v>
      </c>
      <c r="BR189" s="538"/>
      <c r="BT189" s="469">
        <f t="shared" si="289"/>
        <v>94.800000000000026</v>
      </c>
      <c r="BU189" s="538">
        <f t="shared" si="290"/>
        <v>2.6509016380214641E-2</v>
      </c>
      <c r="BV189" s="538">
        <f t="shared" si="291"/>
        <v>3.1187078094370158E-3</v>
      </c>
      <c r="BW189" s="538">
        <f t="shared" si="292"/>
        <v>1.2994615872654234E-3</v>
      </c>
      <c r="BX189" s="538">
        <f t="shared" si="293"/>
        <v>0</v>
      </c>
      <c r="BY189" s="538">
        <f t="shared" si="274"/>
        <v>3.4724362214241918E-2</v>
      </c>
      <c r="BZ189" s="538">
        <f t="shared" si="250"/>
        <v>3.0927185776917079E-2</v>
      </c>
      <c r="CA189" s="641">
        <f t="shared" si="331"/>
        <v>1.404444444444445E-2</v>
      </c>
      <c r="CB189" s="469">
        <f t="shared" si="294"/>
        <v>110.62317821252051</v>
      </c>
      <c r="CC189" s="177">
        <f t="shared" si="251"/>
        <v>0.30800350430763301</v>
      </c>
      <c r="CD189" s="5">
        <f t="shared" si="295"/>
        <v>3.7920000000000007</v>
      </c>
      <c r="CE189" s="177">
        <f t="shared" si="296"/>
        <v>0.92487725827940592</v>
      </c>
      <c r="CF189" s="5">
        <f t="shared" si="297"/>
        <v>92.487725827940594</v>
      </c>
      <c r="CG189">
        <f t="shared" si="298"/>
        <v>79.000000000000014</v>
      </c>
      <c r="CI189" s="571">
        <f t="shared" si="332"/>
        <v>-50</v>
      </c>
      <c r="CJ189">
        <f t="shared" si="333"/>
        <v>-50</v>
      </c>
    </row>
    <row r="190" spans="5:88" x14ac:dyDescent="0.25">
      <c r="E190" s="174">
        <v>80</v>
      </c>
      <c r="F190" s="221">
        <f t="shared" si="334"/>
        <v>0.16000000000000003</v>
      </c>
      <c r="G190" s="221">
        <f t="shared" si="299"/>
        <v>8.0000000000000016E-2</v>
      </c>
      <c r="H190" s="221">
        <f t="shared" si="300"/>
        <v>2.5600000000000005</v>
      </c>
      <c r="I190" s="221">
        <f t="shared" si="301"/>
        <v>1.2800000000000002</v>
      </c>
      <c r="J190" s="551">
        <f t="shared" si="302"/>
        <v>12</v>
      </c>
      <c r="K190" s="451">
        <f t="shared" si="303"/>
        <v>19.584</v>
      </c>
      <c r="L190" s="451">
        <f t="shared" si="304"/>
        <v>31.584</v>
      </c>
      <c r="M190" s="451"/>
      <c r="N190" s="221">
        <f t="shared" si="305"/>
        <v>0.62006079027355621</v>
      </c>
      <c r="O190" s="176">
        <f t="shared" si="306"/>
        <v>3.3483282674772035</v>
      </c>
      <c r="P190" s="176">
        <f t="shared" si="307"/>
        <v>1.6741641337386017</v>
      </c>
      <c r="Q190" s="221">
        <f t="shared" si="308"/>
        <v>0.20927051671732522</v>
      </c>
      <c r="R190" s="221">
        <f t="shared" si="309"/>
        <v>0.20927051671732522</v>
      </c>
      <c r="S190" s="221">
        <f t="shared" si="310"/>
        <v>16</v>
      </c>
      <c r="T190" s="221">
        <f t="shared" si="311"/>
        <v>1.1468409586056647</v>
      </c>
      <c r="U190" s="221">
        <f t="shared" si="312"/>
        <v>2.867102396514162</v>
      </c>
      <c r="V190" s="221">
        <f t="shared" si="313"/>
        <v>1.7568029390405404</v>
      </c>
      <c r="W190" s="201">
        <f t="shared" si="314"/>
        <v>350</v>
      </c>
      <c r="X190" s="451">
        <f t="shared" si="315"/>
        <v>216.26740329450018</v>
      </c>
      <c r="Z190" s="221">
        <f t="shared" si="316"/>
        <v>0.70864090316977857</v>
      </c>
      <c r="AA190" s="177">
        <f t="shared" si="317"/>
        <v>1.0855405992184108</v>
      </c>
      <c r="AB190" s="177">
        <f t="shared" si="318"/>
        <v>0.1076961858920636</v>
      </c>
      <c r="AC190" s="177"/>
      <c r="AD190" s="177">
        <f t="shared" si="319"/>
        <v>0.4595588235294118</v>
      </c>
      <c r="AE190" s="555">
        <f t="shared" si="320"/>
        <v>2901.3333333333344</v>
      </c>
      <c r="AF190" s="538">
        <f t="shared" si="321"/>
        <v>1.9301470588235291E-2</v>
      </c>
      <c r="AH190" s="177">
        <f t="shared" si="322"/>
        <v>0.85523597411975805</v>
      </c>
      <c r="AI190" s="177">
        <f t="shared" si="323"/>
        <v>1.1468409586056647</v>
      </c>
      <c r="AJ190" s="177">
        <f t="shared" si="324"/>
        <v>1.8272895989671589</v>
      </c>
      <c r="AL190" s="555">
        <f t="shared" si="325"/>
        <v>160.00000000000003</v>
      </c>
      <c r="AM190" s="469">
        <f t="shared" si="326"/>
        <v>216.26740329450018</v>
      </c>
      <c r="AO190">
        <f t="shared" si="327"/>
        <v>160.00000000000003</v>
      </c>
      <c r="AP190">
        <f t="shared" si="328"/>
        <v>216.26740329450018</v>
      </c>
      <c r="AR190" s="5">
        <f t="shared" si="249"/>
        <v>4.623905335554702</v>
      </c>
      <c r="AS190" s="5">
        <f t="shared" si="335"/>
        <v>2.867102396514162</v>
      </c>
      <c r="AT190" s="5">
        <f t="shared" si="336"/>
        <v>1.75680293904054</v>
      </c>
      <c r="AU190" s="177">
        <f t="shared" si="337"/>
        <v>0.62006079027355632</v>
      </c>
      <c r="AW190" s="5">
        <f t="shared" si="275"/>
        <v>2.8671023965141624</v>
      </c>
      <c r="AX190" s="5"/>
      <c r="AY190" s="5">
        <f t="shared" si="276"/>
        <v>1.4335511982570812</v>
      </c>
      <c r="AZ190" s="5"/>
      <c r="BA190" s="5">
        <f t="shared" si="277"/>
        <v>0.26026710208008003</v>
      </c>
      <c r="BB190" s="5"/>
      <c r="BC190" s="5"/>
      <c r="BD190" s="177">
        <f t="shared" si="278"/>
        <v>0.52138640448385498</v>
      </c>
      <c r="BE190" s="177">
        <f t="shared" si="279"/>
        <v>0.32650483152933707</v>
      </c>
      <c r="BF190" s="177">
        <f t="shared" si="280"/>
        <v>0.16325241576466853</v>
      </c>
      <c r="BG190" s="177"/>
      <c r="BH190" s="538">
        <f t="shared" si="281"/>
        <v>9.514532397321071E-2</v>
      </c>
      <c r="BI190" s="538">
        <f t="shared" si="282"/>
        <v>3.9167999999999994E-2</v>
      </c>
      <c r="BJ190" s="538">
        <f t="shared" si="283"/>
        <v>2.7033425411812518E-3</v>
      </c>
      <c r="BK190" s="538">
        <f t="shared" si="284"/>
        <v>1.0786867199999998E-2</v>
      </c>
      <c r="BL190">
        <f t="shared" si="285"/>
        <v>3.48E-3</v>
      </c>
      <c r="BM190">
        <f t="shared" si="329"/>
        <v>3.7846795576537534E-6</v>
      </c>
      <c r="BN190">
        <f t="shared" si="330"/>
        <v>0.16706464202624832</v>
      </c>
      <c r="BO190" s="469">
        <f t="shared" si="286"/>
        <v>151.28353371439198</v>
      </c>
      <c r="BP190" s="177">
        <f t="shared" si="287"/>
        <v>6.4000000000000015E-2</v>
      </c>
      <c r="BQ190" s="177">
        <f t="shared" si="288"/>
        <v>3.2000000000000008E-2</v>
      </c>
      <c r="BR190" s="538"/>
      <c r="BT190" s="469">
        <f t="shared" si="289"/>
        <v>96.000000000000028</v>
      </c>
      <c r="BU190" s="538">
        <f t="shared" si="290"/>
        <v>2.7184378278060209E-2</v>
      </c>
      <c r="BV190" s="538">
        <f t="shared" si="291"/>
        <v>3.1981621503600231E-3</v>
      </c>
      <c r="BW190" s="538">
        <f t="shared" si="292"/>
        <v>1.3325675626500097E-3</v>
      </c>
      <c r="BX190" s="538">
        <f t="shared" si="293"/>
        <v>0</v>
      </c>
      <c r="BY190" s="538">
        <f t="shared" si="274"/>
        <v>3.5611274182510519E-2</v>
      </c>
      <c r="BZ190" s="538">
        <f t="shared" si="250"/>
        <v>3.1715107991070246E-2</v>
      </c>
      <c r="CA190" s="641">
        <f t="shared" si="331"/>
        <v>1.4222222222222225E-2</v>
      </c>
      <c r="CB190" s="469">
        <f t="shared" si="294"/>
        <v>113.26371238687324</v>
      </c>
      <c r="CC190" s="177">
        <f t="shared" si="251"/>
        <v>0.31289813843098113</v>
      </c>
      <c r="CD190" s="5">
        <f t="shared" si="295"/>
        <v>3.8400000000000007</v>
      </c>
      <c r="CE190" s="177">
        <f t="shared" si="296"/>
        <v>0.92465547480314603</v>
      </c>
      <c r="CF190" s="5">
        <f t="shared" si="297"/>
        <v>92.465547480314598</v>
      </c>
      <c r="CG190">
        <f t="shared" si="298"/>
        <v>80.000000000000014</v>
      </c>
      <c r="CI190" s="571">
        <f t="shared" si="332"/>
        <v>-50</v>
      </c>
      <c r="CJ190">
        <f t="shared" si="333"/>
        <v>-50</v>
      </c>
    </row>
    <row r="191" spans="5:88" x14ac:dyDescent="0.25">
      <c r="E191" s="174">
        <v>81</v>
      </c>
      <c r="F191" s="221">
        <f t="shared" si="334"/>
        <v>0.16200000000000003</v>
      </c>
      <c r="G191" s="221">
        <f t="shared" si="299"/>
        <v>8.1000000000000016E-2</v>
      </c>
      <c r="H191" s="221">
        <f t="shared" si="300"/>
        <v>2.5920000000000005</v>
      </c>
      <c r="I191" s="221">
        <f t="shared" si="301"/>
        <v>1.2960000000000003</v>
      </c>
      <c r="J191" s="551">
        <f t="shared" si="302"/>
        <v>12</v>
      </c>
      <c r="K191" s="451">
        <f t="shared" si="303"/>
        <v>19.584</v>
      </c>
      <c r="L191" s="451">
        <f t="shared" si="304"/>
        <v>31.584</v>
      </c>
      <c r="M191" s="451"/>
      <c r="N191" s="221">
        <f t="shared" si="305"/>
        <v>0.62006079027355621</v>
      </c>
      <c r="O191" s="176">
        <f t="shared" si="306"/>
        <v>3.3483282674772035</v>
      </c>
      <c r="P191" s="176">
        <f t="shared" si="307"/>
        <v>1.6741641337386017</v>
      </c>
      <c r="Q191" s="221">
        <f t="shared" si="308"/>
        <v>0.20927051671732522</v>
      </c>
      <c r="R191" s="221">
        <f t="shared" si="309"/>
        <v>0.20927051671732522</v>
      </c>
      <c r="S191" s="221">
        <f t="shared" si="310"/>
        <v>16</v>
      </c>
      <c r="T191" s="221">
        <f t="shared" si="311"/>
        <v>1.1611764705882355</v>
      </c>
      <c r="U191" s="221">
        <f t="shared" si="312"/>
        <v>2.902941176470589</v>
      </c>
      <c r="V191" s="221">
        <f t="shared" si="313"/>
        <v>1.7787629757785473</v>
      </c>
      <c r="W191" s="201">
        <f t="shared" si="314"/>
        <v>350</v>
      </c>
      <c r="X191" s="451">
        <f t="shared" si="315"/>
        <v>213.59743535259278</v>
      </c>
      <c r="Z191" s="221">
        <f t="shared" si="316"/>
        <v>0.70864090316977857</v>
      </c>
      <c r="AA191" s="177">
        <f t="shared" si="317"/>
        <v>1.0855405992184108</v>
      </c>
      <c r="AB191" s="177">
        <f t="shared" si="318"/>
        <v>0.1076961858920636</v>
      </c>
      <c r="AC191" s="177"/>
      <c r="AD191" s="177">
        <f t="shared" si="319"/>
        <v>0.4595588235294118</v>
      </c>
      <c r="AE191" s="555">
        <f t="shared" si="320"/>
        <v>2937.6000000000008</v>
      </c>
      <c r="AF191" s="538">
        <f t="shared" si="321"/>
        <v>1.9301470588235291E-2</v>
      </c>
      <c r="AH191" s="177">
        <f t="shared" si="322"/>
        <v>0.86056459872076352</v>
      </c>
      <c r="AI191" s="177">
        <f t="shared" si="323"/>
        <v>1.1611764705882355</v>
      </c>
      <c r="AJ191" s="177">
        <f t="shared" si="324"/>
        <v>1.8379084967320263</v>
      </c>
      <c r="AL191" s="555">
        <f t="shared" si="325"/>
        <v>162.00000000000003</v>
      </c>
      <c r="AM191" s="469">
        <f t="shared" si="326"/>
        <v>213.59743535259278</v>
      </c>
      <c r="AO191">
        <f t="shared" si="327"/>
        <v>162.00000000000003</v>
      </c>
      <c r="AP191">
        <f t="shared" si="328"/>
        <v>213.59743535259278</v>
      </c>
      <c r="AR191" s="5">
        <f t="shared" si="249"/>
        <v>4.6817041522491358</v>
      </c>
      <c r="AS191" s="5">
        <f t="shared" si="335"/>
        <v>2.902941176470589</v>
      </c>
      <c r="AT191" s="5">
        <f t="shared" si="336"/>
        <v>1.7787629757785468</v>
      </c>
      <c r="AU191" s="177">
        <f t="shared" si="337"/>
        <v>0.62006079027355632</v>
      </c>
      <c r="AW191" s="5">
        <f t="shared" si="275"/>
        <v>2.9392279411764717</v>
      </c>
      <c r="AX191" s="5"/>
      <c r="AY191" s="5">
        <f t="shared" si="276"/>
        <v>1.4696139705882358</v>
      </c>
      <c r="AZ191" s="5"/>
      <c r="BA191" s="5">
        <f t="shared" si="277"/>
        <v>0.26681444636678203</v>
      </c>
      <c r="BB191" s="5"/>
      <c r="BC191" s="5"/>
      <c r="BD191" s="177">
        <f t="shared" si="278"/>
        <v>0.52790373453990314</v>
      </c>
      <c r="BE191" s="177">
        <f t="shared" si="279"/>
        <v>0.33058614192345381</v>
      </c>
      <c r="BF191" s="177">
        <f t="shared" si="280"/>
        <v>0.16529307096172691</v>
      </c>
      <c r="BG191" s="177"/>
      <c r="BH191" s="538">
        <f t="shared" si="281"/>
        <v>9.7538823529411761E-2</v>
      </c>
      <c r="BI191" s="538">
        <f t="shared" si="282"/>
        <v>3.9168000000000001E-2</v>
      </c>
      <c r="BJ191" s="538">
        <f t="shared" si="283"/>
        <v>2.6699679419074098E-3</v>
      </c>
      <c r="BK191" s="538">
        <f t="shared" si="284"/>
        <v>1.0653695999999999E-2</v>
      </c>
      <c r="BL191">
        <f t="shared" si="285"/>
        <v>3.48E-3</v>
      </c>
      <c r="BM191">
        <f t="shared" si="329"/>
        <v>3.7379551186703741E-6</v>
      </c>
      <c r="BN191">
        <f t="shared" si="330"/>
        <v>0.16973653042741754</v>
      </c>
      <c r="BO191" s="469">
        <f t="shared" si="286"/>
        <v>153.51048747131918</v>
      </c>
      <c r="BP191" s="177">
        <f t="shared" si="287"/>
        <v>6.480000000000001E-2</v>
      </c>
      <c r="BQ191" s="177">
        <f t="shared" si="288"/>
        <v>3.2400000000000005E-2</v>
      </c>
      <c r="BR191" s="538"/>
      <c r="BT191" s="469">
        <f t="shared" si="289"/>
        <v>97.2</v>
      </c>
      <c r="BU191" s="538">
        <f t="shared" si="290"/>
        <v>2.7868235294117652E-2</v>
      </c>
      <c r="BV191" s="538">
        <f t="shared" si="291"/>
        <v>3.2786159169550183E-3</v>
      </c>
      <c r="BW191" s="538">
        <f t="shared" si="292"/>
        <v>1.3660899653979244E-3</v>
      </c>
      <c r="BX191" s="538">
        <f t="shared" si="293"/>
        <v>0</v>
      </c>
      <c r="BY191" s="538">
        <f t="shared" si="274"/>
        <v>3.6509456502579321E-2</v>
      </c>
      <c r="BZ191" s="538">
        <f t="shared" si="250"/>
        <v>3.2512941176470592E-2</v>
      </c>
      <c r="CA191" s="641">
        <f t="shared" si="331"/>
        <v>1.4400000000000003E-2</v>
      </c>
      <c r="CB191" s="469">
        <f t="shared" si="294"/>
        <v>115.93533885552051</v>
      </c>
      <c r="CC191" s="177">
        <f t="shared" si="251"/>
        <v>0.31784598692999688</v>
      </c>
      <c r="CD191" s="5">
        <f t="shared" si="295"/>
        <v>3.8880000000000008</v>
      </c>
      <c r="CE191" s="177">
        <f t="shared" si="296"/>
        <v>0.92442757344949666</v>
      </c>
      <c r="CF191" s="5">
        <f t="shared" si="297"/>
        <v>92.442757344949669</v>
      </c>
      <c r="CG191">
        <f t="shared" si="298"/>
        <v>81.000000000000014</v>
      </c>
      <c r="CI191" s="571">
        <f t="shared" si="332"/>
        <v>-50</v>
      </c>
      <c r="CJ191">
        <f t="shared" si="333"/>
        <v>-50</v>
      </c>
    </row>
    <row r="192" spans="5:88" x14ac:dyDescent="0.25">
      <c r="E192" s="174">
        <v>82</v>
      </c>
      <c r="F192" s="221">
        <f t="shared" si="334"/>
        <v>0.16400000000000001</v>
      </c>
      <c r="G192" s="221">
        <f t="shared" si="299"/>
        <v>8.2000000000000003E-2</v>
      </c>
      <c r="H192" s="221">
        <f t="shared" si="300"/>
        <v>2.6240000000000001</v>
      </c>
      <c r="I192" s="221">
        <f t="shared" si="301"/>
        <v>1.3120000000000001</v>
      </c>
      <c r="J192" s="551">
        <f t="shared" si="302"/>
        <v>12</v>
      </c>
      <c r="K192" s="451">
        <f t="shared" si="303"/>
        <v>19.584</v>
      </c>
      <c r="L192" s="451">
        <f t="shared" si="304"/>
        <v>31.584</v>
      </c>
      <c r="M192" s="451"/>
      <c r="N192" s="221">
        <f t="shared" si="305"/>
        <v>0.62006079027355621</v>
      </c>
      <c r="O192" s="176">
        <f t="shared" si="306"/>
        <v>3.3483282674772035</v>
      </c>
      <c r="P192" s="176">
        <f t="shared" si="307"/>
        <v>1.6741641337386017</v>
      </c>
      <c r="Q192" s="221">
        <f t="shared" si="308"/>
        <v>0.20927051671732522</v>
      </c>
      <c r="R192" s="221">
        <f t="shared" si="309"/>
        <v>0.20927051671732522</v>
      </c>
      <c r="S192" s="221">
        <f t="shared" si="310"/>
        <v>16</v>
      </c>
      <c r="T192" s="221">
        <f t="shared" si="311"/>
        <v>1.175511982570806</v>
      </c>
      <c r="U192" s="221">
        <f t="shared" si="312"/>
        <v>2.9387799564270156</v>
      </c>
      <c r="V192" s="221">
        <f t="shared" si="313"/>
        <v>1.8007230125165534</v>
      </c>
      <c r="W192" s="201">
        <f t="shared" si="314"/>
        <v>350</v>
      </c>
      <c r="X192" s="451">
        <f t="shared" si="315"/>
        <v>210.99258858000022</v>
      </c>
      <c r="Z192" s="221">
        <f t="shared" si="316"/>
        <v>0.70864090316977857</v>
      </c>
      <c r="AA192" s="177">
        <f t="shared" si="317"/>
        <v>1.0855405992184108</v>
      </c>
      <c r="AB192" s="177">
        <f t="shared" si="318"/>
        <v>0.1076961858920636</v>
      </c>
      <c r="AC192" s="177"/>
      <c r="AD192" s="177">
        <f t="shared" si="319"/>
        <v>0.4595588235294118</v>
      </c>
      <c r="AE192" s="555">
        <f t="shared" si="320"/>
        <v>2973.8666666666677</v>
      </c>
      <c r="AF192" s="538">
        <f t="shared" si="321"/>
        <v>1.9301470588235291E-2</v>
      </c>
      <c r="AH192" s="177">
        <f t="shared" si="322"/>
        <v>0.86586043085146558</v>
      </c>
      <c r="AI192" s="177">
        <f t="shared" si="323"/>
        <v>1.175511982570806</v>
      </c>
      <c r="AJ192" s="177">
        <f t="shared" si="324"/>
        <v>1.8485273944968932</v>
      </c>
      <c r="AL192" s="555">
        <f t="shared" si="325"/>
        <v>164</v>
      </c>
      <c r="AM192" s="469">
        <f t="shared" si="326"/>
        <v>210.99258858000022</v>
      </c>
      <c r="AO192">
        <f t="shared" si="327"/>
        <v>164</v>
      </c>
      <c r="AP192">
        <f t="shared" si="328"/>
        <v>210.99258858000022</v>
      </c>
      <c r="AR192" s="5">
        <f t="shared" si="249"/>
        <v>4.7395029689435688</v>
      </c>
      <c r="AS192" s="5">
        <f t="shared" si="335"/>
        <v>2.9387799564270156</v>
      </c>
      <c r="AT192" s="5">
        <f t="shared" si="336"/>
        <v>1.8007230125165532</v>
      </c>
      <c r="AU192" s="177">
        <f t="shared" si="337"/>
        <v>0.62006079027355632</v>
      </c>
      <c r="AW192" s="5">
        <f t="shared" si="275"/>
        <v>3.0122494553376908</v>
      </c>
      <c r="AX192" s="5"/>
      <c r="AY192" s="5">
        <f t="shared" si="276"/>
        <v>1.5061247276688454</v>
      </c>
      <c r="AZ192" s="5"/>
      <c r="BA192" s="5">
        <f t="shared" si="277"/>
        <v>0.27344312412288396</v>
      </c>
      <c r="BB192" s="5"/>
      <c r="BC192" s="5"/>
      <c r="BD192" s="177">
        <f t="shared" si="278"/>
        <v>0.53442106459595129</v>
      </c>
      <c r="BE192" s="177">
        <f t="shared" si="279"/>
        <v>0.33466745231757039</v>
      </c>
      <c r="BF192" s="177">
        <f t="shared" si="280"/>
        <v>0.1673337261587852</v>
      </c>
      <c r="BG192" s="177"/>
      <c r="BH192" s="538">
        <f t="shared" si="281"/>
        <v>9.9962055999354482E-2</v>
      </c>
      <c r="BI192" s="538">
        <f t="shared" si="282"/>
        <v>3.9167999999999994E-2</v>
      </c>
      <c r="BJ192" s="538">
        <f t="shared" si="283"/>
        <v>2.6374073572500026E-3</v>
      </c>
      <c r="BK192" s="538">
        <f t="shared" si="284"/>
        <v>1.052377287804878E-2</v>
      </c>
      <c r="BL192">
        <f t="shared" si="285"/>
        <v>3.48E-3</v>
      </c>
      <c r="BM192">
        <f t="shared" si="329"/>
        <v>3.6923703001500039E-6</v>
      </c>
      <c r="BN192">
        <f t="shared" si="330"/>
        <v>0.17245030706280828</v>
      </c>
      <c r="BO192" s="469">
        <f t="shared" si="286"/>
        <v>155.77123623465329</v>
      </c>
      <c r="BP192" s="177">
        <f t="shared" si="287"/>
        <v>6.5600000000000006E-2</v>
      </c>
      <c r="BQ192" s="177">
        <f t="shared" si="288"/>
        <v>3.2800000000000003E-2</v>
      </c>
      <c r="BR192" s="538"/>
      <c r="BT192" s="469">
        <f t="shared" si="289"/>
        <v>98.40000000000002</v>
      </c>
      <c r="BU192" s="538">
        <f t="shared" si="290"/>
        <v>2.8560587428386998E-2</v>
      </c>
      <c r="BV192" s="538">
        <f t="shared" si="291"/>
        <v>3.3600691092219976E-3</v>
      </c>
      <c r="BW192" s="538">
        <f t="shared" si="292"/>
        <v>1.4000287955091657E-3</v>
      </c>
      <c r="BX192" s="538">
        <f t="shared" si="293"/>
        <v>0</v>
      </c>
      <c r="BY192" s="538">
        <f t="shared" si="274"/>
        <v>3.7418913480419404E-2</v>
      </c>
      <c r="BZ192" s="538">
        <f t="shared" si="250"/>
        <v>3.3320685333118161E-2</v>
      </c>
      <c r="CA192" s="641">
        <f t="shared" si="331"/>
        <v>1.4577777777777775E-2</v>
      </c>
      <c r="CB192" s="469">
        <f t="shared" si="294"/>
        <v>118.63806192443349</v>
      </c>
      <c r="CC192" s="177">
        <f t="shared" si="251"/>
        <v>0.3228469983210055</v>
      </c>
      <c r="CD192" s="5">
        <f t="shared" si="295"/>
        <v>3.9359999999999999</v>
      </c>
      <c r="CE192" s="177">
        <f t="shared" si="296"/>
        <v>0.92419380211397972</v>
      </c>
      <c r="CF192" s="5">
        <f t="shared" si="297"/>
        <v>92.419380211397979</v>
      </c>
      <c r="CG192">
        <f t="shared" si="298"/>
        <v>82</v>
      </c>
      <c r="CI192" s="571">
        <f t="shared" si="332"/>
        <v>-50</v>
      </c>
      <c r="CJ192">
        <f t="shared" si="333"/>
        <v>-50</v>
      </c>
    </row>
    <row r="193" spans="5:88" x14ac:dyDescent="0.25">
      <c r="E193" s="174">
        <v>83</v>
      </c>
      <c r="F193" s="221">
        <f t="shared" si="334"/>
        <v>0.16600000000000001</v>
      </c>
      <c r="G193" s="221">
        <f t="shared" si="299"/>
        <v>8.3000000000000004E-2</v>
      </c>
      <c r="H193" s="221">
        <f t="shared" si="300"/>
        <v>2.6560000000000001</v>
      </c>
      <c r="I193" s="221">
        <f t="shared" si="301"/>
        <v>1.3280000000000001</v>
      </c>
      <c r="J193" s="551">
        <f t="shared" si="302"/>
        <v>12</v>
      </c>
      <c r="K193" s="451">
        <f t="shared" si="303"/>
        <v>19.584</v>
      </c>
      <c r="L193" s="451">
        <f t="shared" si="304"/>
        <v>31.584</v>
      </c>
      <c r="M193" s="451"/>
      <c r="N193" s="221">
        <f t="shared" si="305"/>
        <v>0.62006079027355621</v>
      </c>
      <c r="O193" s="176">
        <f t="shared" si="306"/>
        <v>3.3483282674772035</v>
      </c>
      <c r="P193" s="176">
        <f t="shared" si="307"/>
        <v>1.6741641337386017</v>
      </c>
      <c r="Q193" s="221">
        <f t="shared" si="308"/>
        <v>0.20927051671732522</v>
      </c>
      <c r="R193" s="221">
        <f t="shared" si="309"/>
        <v>0.20927051671732522</v>
      </c>
      <c r="S193" s="221">
        <f t="shared" si="310"/>
        <v>16</v>
      </c>
      <c r="T193" s="221">
        <f t="shared" si="311"/>
        <v>1.1898474945533768</v>
      </c>
      <c r="U193" s="221">
        <f t="shared" si="312"/>
        <v>2.9746187363834422</v>
      </c>
      <c r="V193" s="221">
        <f t="shared" si="313"/>
        <v>1.8226830492545603</v>
      </c>
      <c r="W193" s="201">
        <f t="shared" si="314"/>
        <v>350</v>
      </c>
      <c r="X193" s="451">
        <f t="shared" si="315"/>
        <v>208.45050919951831</v>
      </c>
      <c r="Z193" s="221">
        <f t="shared" si="316"/>
        <v>0.70864090316977857</v>
      </c>
      <c r="AA193" s="177">
        <f t="shared" si="317"/>
        <v>1.0855405992184108</v>
      </c>
      <c r="AB193" s="177">
        <f t="shared" si="318"/>
        <v>0.1076961858920636</v>
      </c>
      <c r="AC193" s="177"/>
      <c r="AD193" s="177">
        <f t="shared" si="319"/>
        <v>0.4595588235294118</v>
      </c>
      <c r="AE193" s="555">
        <f t="shared" si="320"/>
        <v>3010.1333333333337</v>
      </c>
      <c r="AF193" s="538">
        <f t="shared" si="321"/>
        <v>1.9301470588235291E-2</v>
      </c>
      <c r="AH193" s="177">
        <f t="shared" si="322"/>
        <v>0.87112406857872027</v>
      </c>
      <c r="AI193" s="177">
        <f t="shared" si="323"/>
        <v>1.1898474945533768</v>
      </c>
      <c r="AJ193" s="177">
        <f t="shared" si="324"/>
        <v>1.8591462922617605</v>
      </c>
      <c r="AL193" s="555">
        <f t="shared" si="325"/>
        <v>166</v>
      </c>
      <c r="AM193" s="469">
        <f t="shared" si="326"/>
        <v>208.45050919951831</v>
      </c>
      <c r="AO193">
        <f t="shared" si="327"/>
        <v>166</v>
      </c>
      <c r="AP193">
        <f t="shared" si="328"/>
        <v>208.45050919951831</v>
      </c>
      <c r="AR193" s="5">
        <f t="shared" si="249"/>
        <v>4.7973017856380018</v>
      </c>
      <c r="AS193" s="5">
        <f t="shared" si="335"/>
        <v>2.9746187363834422</v>
      </c>
      <c r="AT193" s="5">
        <f t="shared" si="336"/>
        <v>1.8226830492545596</v>
      </c>
      <c r="AU193" s="177">
        <f t="shared" si="337"/>
        <v>0.62006079027355632</v>
      </c>
      <c r="AW193" s="5">
        <f t="shared" si="275"/>
        <v>3.0861669389978212</v>
      </c>
      <c r="AX193" s="5"/>
      <c r="AY193" s="5">
        <f t="shared" si="276"/>
        <v>1.5430834694989106</v>
      </c>
      <c r="AZ193" s="5"/>
      <c r="BA193" s="5">
        <f t="shared" si="277"/>
        <v>0.28015313534838598</v>
      </c>
      <c r="BB193" s="5"/>
      <c r="BC193" s="5"/>
      <c r="BD193" s="177">
        <f t="shared" si="278"/>
        <v>0.54093839465199944</v>
      </c>
      <c r="BE193" s="177">
        <f t="shared" si="279"/>
        <v>0.33874876271168708</v>
      </c>
      <c r="BF193" s="177">
        <f t="shared" si="280"/>
        <v>0.16937438135584354</v>
      </c>
      <c r="BG193" s="177"/>
      <c r="BH193" s="538">
        <f t="shared" si="281"/>
        <v>0.1024150213830388</v>
      </c>
      <c r="BI193" s="538">
        <f t="shared" si="282"/>
        <v>3.9167999999999994E-2</v>
      </c>
      <c r="BJ193" s="538">
        <f t="shared" si="283"/>
        <v>2.6056313649939788E-3</v>
      </c>
      <c r="BK193" s="538">
        <f t="shared" si="284"/>
        <v>1.039698043373494E-2</v>
      </c>
      <c r="BL193">
        <f t="shared" si="285"/>
        <v>3.48E-3</v>
      </c>
      <c r="BM193">
        <f t="shared" si="329"/>
        <v>3.6478839109915708E-6</v>
      </c>
      <c r="BN193">
        <f t="shared" si="330"/>
        <v>0.17520592502634139</v>
      </c>
      <c r="BO193" s="469">
        <f t="shared" si="286"/>
        <v>158.06563318176774</v>
      </c>
      <c r="BP193" s="177">
        <f t="shared" si="287"/>
        <v>6.6400000000000001E-2</v>
      </c>
      <c r="BQ193" s="177">
        <f t="shared" si="288"/>
        <v>3.32E-2</v>
      </c>
      <c r="BR193" s="538"/>
      <c r="BT193" s="469">
        <f t="shared" si="289"/>
        <v>99.6</v>
      </c>
      <c r="BU193" s="538">
        <f t="shared" si="290"/>
        <v>2.9261434680868233E-2</v>
      </c>
      <c r="BV193" s="538">
        <f t="shared" si="291"/>
        <v>3.442521727160966E-3</v>
      </c>
      <c r="BW193" s="538">
        <f t="shared" si="292"/>
        <v>1.434384052983736E-3</v>
      </c>
      <c r="BX193" s="538">
        <f t="shared" si="293"/>
        <v>0</v>
      </c>
      <c r="BY193" s="538">
        <f t="shared" si="274"/>
        <v>3.833964947689434E-2</v>
      </c>
      <c r="BZ193" s="538">
        <f t="shared" si="250"/>
        <v>3.4138340461012939E-2</v>
      </c>
      <c r="CA193" s="641">
        <f t="shared" si="331"/>
        <v>1.4755555555555555E-2</v>
      </c>
      <c r="CB193" s="469">
        <f t="shared" ref="CB193:CB210" si="338">SUM(BU193:CA193)*1000</f>
        <v>121.37188595447576</v>
      </c>
      <c r="CC193" s="177">
        <f t="shared" si="251"/>
        <v>0.32790113005879129</v>
      </c>
      <c r="CD193" s="5">
        <f t="shared" ref="CD193:CD210" si="339">MIN(H193+I193,O193+P193)</f>
        <v>3.984</v>
      </c>
      <c r="CE193" s="177">
        <f t="shared" ref="CE193:CE210" si="340">CD193/(CD193+CC193)</f>
        <v>0.92395439501779109</v>
      </c>
      <c r="CF193" s="5">
        <f t="shared" ref="CF193:CF210" si="341">CE193*100</f>
        <v>92.395439501779109</v>
      </c>
      <c r="CG193">
        <f t="shared" ref="CG193:CG210" si="342">F193/Iout*100</f>
        <v>83</v>
      </c>
      <c r="CI193" s="571">
        <f t="shared" si="332"/>
        <v>-50</v>
      </c>
      <c r="CJ193">
        <f t="shared" si="333"/>
        <v>-50</v>
      </c>
    </row>
    <row r="194" spans="5:88" x14ac:dyDescent="0.25">
      <c r="E194" s="174">
        <v>84</v>
      </c>
      <c r="F194" s="221">
        <f t="shared" si="334"/>
        <v>0.16800000000000001</v>
      </c>
      <c r="G194" s="221">
        <f t="shared" si="299"/>
        <v>8.4000000000000005E-2</v>
      </c>
      <c r="H194" s="221">
        <f t="shared" si="300"/>
        <v>2.6880000000000002</v>
      </c>
      <c r="I194" s="221">
        <f t="shared" si="301"/>
        <v>1.3440000000000001</v>
      </c>
      <c r="J194" s="551">
        <f t="shared" si="302"/>
        <v>12</v>
      </c>
      <c r="K194" s="451">
        <f t="shared" si="303"/>
        <v>19.584</v>
      </c>
      <c r="L194" s="451">
        <f t="shared" si="304"/>
        <v>31.584</v>
      </c>
      <c r="M194" s="451"/>
      <c r="N194" s="221">
        <f t="shared" si="305"/>
        <v>0.62006079027355621</v>
      </c>
      <c r="O194" s="176">
        <f t="shared" si="306"/>
        <v>3.3483282674772035</v>
      </c>
      <c r="P194" s="176">
        <f t="shared" si="307"/>
        <v>1.6741641337386017</v>
      </c>
      <c r="Q194" s="221">
        <f t="shared" si="308"/>
        <v>0.20927051671732522</v>
      </c>
      <c r="R194" s="221">
        <f t="shared" si="309"/>
        <v>0.20927051671732522</v>
      </c>
      <c r="S194" s="221">
        <f t="shared" si="310"/>
        <v>16</v>
      </c>
      <c r="T194" s="221">
        <f t="shared" si="311"/>
        <v>1.2041830065359476</v>
      </c>
      <c r="U194" s="221">
        <f t="shared" si="312"/>
        <v>3.0104575163398688</v>
      </c>
      <c r="V194" s="221">
        <f t="shared" si="313"/>
        <v>1.8446430859925667</v>
      </c>
      <c r="W194" s="201">
        <f t="shared" si="314"/>
        <v>350</v>
      </c>
      <c r="X194" s="451">
        <f t="shared" si="315"/>
        <v>205.96895551857168</v>
      </c>
      <c r="Z194" s="221">
        <f t="shared" si="316"/>
        <v>0.70864090316977857</v>
      </c>
      <c r="AA194" s="177">
        <f t="shared" si="317"/>
        <v>1.0855405992184108</v>
      </c>
      <c r="AB194" s="177">
        <f t="shared" si="318"/>
        <v>0.1076961858920636</v>
      </c>
      <c r="AC194" s="177"/>
      <c r="AD194" s="177">
        <f t="shared" si="319"/>
        <v>0.4595588235294118</v>
      </c>
      <c r="AE194" s="555">
        <f t="shared" si="320"/>
        <v>3046.400000000001</v>
      </c>
      <c r="AF194" s="538">
        <f t="shared" si="321"/>
        <v>1.9301470588235291E-2</v>
      </c>
      <c r="AH194" s="177">
        <f t="shared" si="322"/>
        <v>0.87635609200826581</v>
      </c>
      <c r="AI194" s="177">
        <f t="shared" si="323"/>
        <v>1.2041830065359476</v>
      </c>
      <c r="AJ194" s="177">
        <f t="shared" si="324"/>
        <v>1.8697651900266277</v>
      </c>
      <c r="AL194" s="555">
        <f t="shared" si="325"/>
        <v>168</v>
      </c>
      <c r="AM194" s="469">
        <f t="shared" si="326"/>
        <v>205.96895551857168</v>
      </c>
      <c r="AO194">
        <f t="shared" si="327"/>
        <v>168</v>
      </c>
      <c r="AP194">
        <f t="shared" si="328"/>
        <v>205.96895551857168</v>
      </c>
      <c r="AR194" s="5">
        <f t="shared" si="249"/>
        <v>4.8551006023324357</v>
      </c>
      <c r="AS194" s="5">
        <f t="shared" si="335"/>
        <v>3.0104575163398688</v>
      </c>
      <c r="AT194" s="5">
        <f t="shared" si="336"/>
        <v>1.8446430859925669</v>
      </c>
      <c r="AU194" s="177">
        <f t="shared" si="337"/>
        <v>0.62006079027355621</v>
      </c>
      <c r="AW194" s="5">
        <f t="shared" si="275"/>
        <v>3.1609803921568624</v>
      </c>
      <c r="AX194" s="5"/>
      <c r="AY194" s="5">
        <f t="shared" si="276"/>
        <v>1.5804901960784312</v>
      </c>
      <c r="AZ194" s="5"/>
      <c r="BA194" s="5">
        <f t="shared" si="277"/>
        <v>0.28694448004328815</v>
      </c>
      <c r="BB194" s="5"/>
      <c r="BC194" s="5"/>
      <c r="BD194" s="177">
        <f t="shared" si="278"/>
        <v>0.5474557247080476</v>
      </c>
      <c r="BE194" s="177">
        <f t="shared" si="279"/>
        <v>0.34283007310580382</v>
      </c>
      <c r="BF194" s="177">
        <f t="shared" si="280"/>
        <v>0.17141503655290191</v>
      </c>
      <c r="BG194" s="177"/>
      <c r="BH194" s="538">
        <f t="shared" si="281"/>
        <v>0.10489771968046475</v>
      </c>
      <c r="BI194" s="538">
        <f t="shared" si="282"/>
        <v>3.9168000000000001E-2</v>
      </c>
      <c r="BJ194" s="538">
        <f t="shared" si="283"/>
        <v>2.574611943982146E-3</v>
      </c>
      <c r="BK194" s="538">
        <f t="shared" si="284"/>
        <v>1.0273206857142858E-2</v>
      </c>
      <c r="BL194">
        <f t="shared" si="285"/>
        <v>3.48E-3</v>
      </c>
      <c r="BM194">
        <f t="shared" si="329"/>
        <v>3.6044567215750045E-6</v>
      </c>
      <c r="BN194">
        <f t="shared" si="330"/>
        <v>0.17800334586176852</v>
      </c>
      <c r="BO194" s="469">
        <f t="shared" si="286"/>
        <v>160.39353848158976</v>
      </c>
      <c r="BP194" s="177">
        <f t="shared" si="287"/>
        <v>6.720000000000001E-2</v>
      </c>
      <c r="BQ194" s="177">
        <f t="shared" si="288"/>
        <v>3.3600000000000005E-2</v>
      </c>
      <c r="BR194" s="538"/>
      <c r="BT194" s="469">
        <f t="shared" si="289"/>
        <v>100.80000000000001</v>
      </c>
      <c r="BU194" s="538">
        <f t="shared" si="290"/>
        <v>2.997077705156136E-2</v>
      </c>
      <c r="BV194" s="538">
        <f t="shared" si="291"/>
        <v>3.5259737707719237E-3</v>
      </c>
      <c r="BW194" s="538">
        <f t="shared" si="292"/>
        <v>1.4691557378216352E-3</v>
      </c>
      <c r="BX194" s="538">
        <f t="shared" si="293"/>
        <v>0</v>
      </c>
      <c r="BY194" s="538">
        <f t="shared" si="274"/>
        <v>3.9271668907812869E-2</v>
      </c>
      <c r="BZ194" s="538">
        <f t="shared" si="250"/>
        <v>3.496590656015492E-2</v>
      </c>
      <c r="CA194" s="641">
        <f t="shared" si="331"/>
        <v>1.4933333333333333E-2</v>
      </c>
      <c r="CB194" s="469">
        <f t="shared" si="338"/>
        <v>124.13681536145604</v>
      </c>
      <c r="CC194" s="177">
        <f t="shared" si="251"/>
        <v>0.33300834810291474</v>
      </c>
      <c r="CD194" s="5">
        <f t="shared" si="339"/>
        <v>4.032</v>
      </c>
      <c r="CE194" s="177">
        <f t="shared" si="340"/>
        <v>0.9237095736030736</v>
      </c>
      <c r="CF194" s="5">
        <f t="shared" si="341"/>
        <v>92.370957360307358</v>
      </c>
      <c r="CG194">
        <f t="shared" si="342"/>
        <v>84</v>
      </c>
      <c r="CI194" s="571">
        <f t="shared" si="332"/>
        <v>-50</v>
      </c>
      <c r="CJ194">
        <f t="shared" si="333"/>
        <v>-50</v>
      </c>
    </row>
    <row r="195" spans="5:88" x14ac:dyDescent="0.25">
      <c r="E195" s="174">
        <v>85</v>
      </c>
      <c r="F195" s="221">
        <f t="shared" si="334"/>
        <v>0.17</v>
      </c>
      <c r="G195" s="221">
        <f t="shared" si="299"/>
        <v>8.5000000000000006E-2</v>
      </c>
      <c r="H195" s="221">
        <f t="shared" si="300"/>
        <v>2.72</v>
      </c>
      <c r="I195" s="221">
        <f t="shared" si="301"/>
        <v>1.36</v>
      </c>
      <c r="J195" s="551">
        <f t="shared" si="302"/>
        <v>12</v>
      </c>
      <c r="K195" s="451">
        <f t="shared" si="303"/>
        <v>19.584</v>
      </c>
      <c r="L195" s="451">
        <f t="shared" si="304"/>
        <v>31.584</v>
      </c>
      <c r="M195" s="451"/>
      <c r="N195" s="221">
        <f t="shared" si="305"/>
        <v>0.62006079027355621</v>
      </c>
      <c r="O195" s="176">
        <f t="shared" si="306"/>
        <v>3.3483282674772035</v>
      </c>
      <c r="P195" s="176">
        <f t="shared" si="307"/>
        <v>1.6741641337386017</v>
      </c>
      <c r="Q195" s="221">
        <f t="shared" si="308"/>
        <v>0.20927051671732522</v>
      </c>
      <c r="R195" s="221">
        <f t="shared" si="309"/>
        <v>0.20927051671732522</v>
      </c>
      <c r="S195" s="221">
        <f t="shared" si="310"/>
        <v>16</v>
      </c>
      <c r="T195" s="221">
        <f t="shared" si="311"/>
        <v>1.2185185185185183</v>
      </c>
      <c r="U195" s="221">
        <f t="shared" si="312"/>
        <v>3.0462962962962958</v>
      </c>
      <c r="V195" s="221">
        <f t="shared" si="313"/>
        <v>1.8666031227305735</v>
      </c>
      <c r="W195" s="201">
        <f t="shared" si="314"/>
        <v>350</v>
      </c>
      <c r="X195" s="451">
        <f t="shared" si="315"/>
        <v>203.54579133600024</v>
      </c>
      <c r="Z195" s="221">
        <f t="shared" si="316"/>
        <v>0.70864090316977857</v>
      </c>
      <c r="AA195" s="177">
        <f t="shared" si="317"/>
        <v>1.0855405992184108</v>
      </c>
      <c r="AB195" s="177">
        <f t="shared" si="318"/>
        <v>0.1076961858920636</v>
      </c>
      <c r="AC195" s="177"/>
      <c r="AD195" s="177">
        <f t="shared" si="319"/>
        <v>0.4595588235294118</v>
      </c>
      <c r="AE195" s="555">
        <f t="shared" si="320"/>
        <v>3082.6666666666674</v>
      </c>
      <c r="AF195" s="538">
        <f t="shared" si="321"/>
        <v>1.9301470588235291E-2</v>
      </c>
      <c r="AH195" s="177">
        <f t="shared" si="322"/>
        <v>0.88155706403094358</v>
      </c>
      <c r="AI195" s="177">
        <f t="shared" si="323"/>
        <v>1.2185185185185183</v>
      </c>
      <c r="AJ195" s="177">
        <f t="shared" si="324"/>
        <v>1.880384087791495</v>
      </c>
      <c r="AL195" s="555">
        <f t="shared" si="325"/>
        <v>170</v>
      </c>
      <c r="AM195" s="469">
        <f t="shared" si="326"/>
        <v>203.54579133600024</v>
      </c>
      <c r="AO195">
        <f t="shared" si="327"/>
        <v>170</v>
      </c>
      <c r="AP195">
        <f t="shared" si="328"/>
        <v>203.54579133600024</v>
      </c>
      <c r="AR195" s="5">
        <f t="shared" si="249"/>
        <v>4.9128994190268696</v>
      </c>
      <c r="AS195" s="5">
        <f t="shared" si="335"/>
        <v>3.0462962962962958</v>
      </c>
      <c r="AT195" s="5">
        <f t="shared" si="336"/>
        <v>1.8666031227305737</v>
      </c>
      <c r="AU195" s="177">
        <f t="shared" si="337"/>
        <v>0.62006079027355621</v>
      </c>
      <c r="AW195" s="5">
        <f t="shared" si="275"/>
        <v>3.2366898148148144</v>
      </c>
      <c r="AX195" s="5"/>
      <c r="AY195" s="5">
        <f t="shared" si="276"/>
        <v>1.6183449074074072</v>
      </c>
      <c r="AZ195" s="5"/>
      <c r="BA195" s="5">
        <f t="shared" si="277"/>
        <v>0.2938171582075903</v>
      </c>
      <c r="BB195" s="5"/>
      <c r="BC195" s="5"/>
      <c r="BD195" s="177">
        <f t="shared" si="278"/>
        <v>0.55397305476409575</v>
      </c>
      <c r="BE195" s="177">
        <f t="shared" si="279"/>
        <v>0.34691138349992051</v>
      </c>
      <c r="BF195" s="177">
        <f t="shared" si="280"/>
        <v>0.17345569174996026</v>
      </c>
      <c r="BG195" s="177"/>
      <c r="BH195" s="538">
        <f t="shared" si="281"/>
        <v>0.10741015089163235</v>
      </c>
      <c r="BI195" s="538">
        <f t="shared" si="282"/>
        <v>3.9167999999999994E-2</v>
      </c>
      <c r="BJ195" s="538">
        <f t="shared" si="283"/>
        <v>2.5443223917000026E-3</v>
      </c>
      <c r="BK195" s="538">
        <f t="shared" si="284"/>
        <v>1.0152345600000001E-2</v>
      </c>
      <c r="BL195">
        <f t="shared" si="285"/>
        <v>3.48E-3</v>
      </c>
      <c r="BM195">
        <f t="shared" si="329"/>
        <v>3.5620513483800043E-6</v>
      </c>
      <c r="BN195">
        <f t="shared" si="330"/>
        <v>0.18084253916032644</v>
      </c>
      <c r="BO195" s="469">
        <f t="shared" si="286"/>
        <v>162.75481888333235</v>
      </c>
      <c r="BP195" s="177">
        <f t="shared" si="287"/>
        <v>6.8000000000000005E-2</v>
      </c>
      <c r="BQ195" s="177">
        <f t="shared" si="288"/>
        <v>3.4000000000000002E-2</v>
      </c>
      <c r="BR195" s="538"/>
      <c r="BT195" s="469">
        <f t="shared" si="289"/>
        <v>102.00000000000001</v>
      </c>
      <c r="BU195" s="538">
        <f t="shared" si="290"/>
        <v>3.0688614540466386E-2</v>
      </c>
      <c r="BV195" s="538">
        <f t="shared" si="291"/>
        <v>3.6104252400548675E-3</v>
      </c>
      <c r="BW195" s="538">
        <f t="shared" si="292"/>
        <v>1.5043438500228616E-3</v>
      </c>
      <c r="BX195" s="538">
        <f t="shared" si="293"/>
        <v>0</v>
      </c>
      <c r="BY195" s="538">
        <f t="shared" si="274"/>
        <v>4.0214976243981938E-2</v>
      </c>
      <c r="BZ195" s="538">
        <f t="shared" si="250"/>
        <v>3.5803383630544118E-2</v>
      </c>
      <c r="CA195" s="641">
        <f t="shared" si="331"/>
        <v>1.5111111111111108E-2</v>
      </c>
      <c r="CB195" s="469">
        <f t="shared" si="338"/>
        <v>126.93285461618129</v>
      </c>
      <c r="CC195" s="177">
        <f t="shared" si="251"/>
        <v>0.33816862651541951</v>
      </c>
      <c r="CD195" s="5">
        <f t="shared" si="339"/>
        <v>4.08</v>
      </c>
      <c r="CE195" s="177">
        <f t="shared" si="340"/>
        <v>0.92345954735952873</v>
      </c>
      <c r="CF195" s="5">
        <f t="shared" si="341"/>
        <v>92.345954735952873</v>
      </c>
      <c r="CG195">
        <f t="shared" si="342"/>
        <v>85</v>
      </c>
      <c r="CI195" s="571">
        <f t="shared" si="332"/>
        <v>-50</v>
      </c>
      <c r="CJ195">
        <f t="shared" si="333"/>
        <v>-50</v>
      </c>
    </row>
    <row r="196" spans="5:88" x14ac:dyDescent="0.25">
      <c r="E196" s="174">
        <v>86</v>
      </c>
      <c r="F196" s="221">
        <f t="shared" si="334"/>
        <v>0.17200000000000001</v>
      </c>
      <c r="G196" s="221">
        <f t="shared" si="299"/>
        <v>8.6000000000000007E-2</v>
      </c>
      <c r="H196" s="221">
        <f t="shared" si="300"/>
        <v>2.7520000000000002</v>
      </c>
      <c r="I196" s="221">
        <f t="shared" si="301"/>
        <v>1.3760000000000001</v>
      </c>
      <c r="J196" s="551">
        <f t="shared" si="302"/>
        <v>12</v>
      </c>
      <c r="K196" s="451">
        <f t="shared" si="303"/>
        <v>19.584</v>
      </c>
      <c r="L196" s="451">
        <f t="shared" si="304"/>
        <v>31.584</v>
      </c>
      <c r="M196" s="451"/>
      <c r="N196" s="221">
        <f t="shared" si="305"/>
        <v>0.62006079027355621</v>
      </c>
      <c r="O196" s="176">
        <f t="shared" si="306"/>
        <v>3.3483282674772035</v>
      </c>
      <c r="P196" s="176">
        <f t="shared" si="307"/>
        <v>1.6741641337386017</v>
      </c>
      <c r="Q196" s="221">
        <f t="shared" si="308"/>
        <v>0.20927051671732522</v>
      </c>
      <c r="R196" s="221">
        <f t="shared" si="309"/>
        <v>0.20927051671732522</v>
      </c>
      <c r="S196" s="221">
        <f t="shared" si="310"/>
        <v>16</v>
      </c>
      <c r="T196" s="221">
        <f t="shared" si="311"/>
        <v>1.2328540305010893</v>
      </c>
      <c r="U196" s="221">
        <f t="shared" si="312"/>
        <v>3.0821350762527233</v>
      </c>
      <c r="V196" s="221">
        <f t="shared" si="313"/>
        <v>1.8885631594685803</v>
      </c>
      <c r="W196" s="201">
        <f t="shared" si="314"/>
        <v>350</v>
      </c>
      <c r="X196" s="451">
        <f t="shared" si="315"/>
        <v>201.17897980883745</v>
      </c>
      <c r="Z196" s="221">
        <f t="shared" si="316"/>
        <v>0.70864090316977857</v>
      </c>
      <c r="AA196" s="177">
        <f t="shared" si="317"/>
        <v>1.0855405992184108</v>
      </c>
      <c r="AB196" s="177">
        <f t="shared" si="318"/>
        <v>0.1076961858920636</v>
      </c>
      <c r="AC196" s="177"/>
      <c r="AD196" s="177">
        <f t="shared" si="319"/>
        <v>0.4595588235294118</v>
      </c>
      <c r="AE196" s="555">
        <f t="shared" si="320"/>
        <v>3118.9333333333343</v>
      </c>
      <c r="AF196" s="538">
        <f t="shared" si="321"/>
        <v>1.9301470588235291E-2</v>
      </c>
      <c r="AH196" s="177">
        <f t="shared" si="322"/>
        <v>0.88672753102952329</v>
      </c>
      <c r="AI196" s="177">
        <f t="shared" si="323"/>
        <v>1.2328540305010893</v>
      </c>
      <c r="AJ196" s="177">
        <f t="shared" si="324"/>
        <v>1.8910029855563624</v>
      </c>
      <c r="AL196" s="555">
        <f t="shared" si="325"/>
        <v>172</v>
      </c>
      <c r="AM196" s="469">
        <f t="shared" si="326"/>
        <v>201.17897980883745</v>
      </c>
      <c r="AO196">
        <f t="shared" si="327"/>
        <v>172</v>
      </c>
      <c r="AP196">
        <f t="shared" si="328"/>
        <v>201.17897980883745</v>
      </c>
      <c r="AR196" s="5">
        <f t="shared" si="249"/>
        <v>4.9706982357213034</v>
      </c>
      <c r="AS196" s="5">
        <f t="shared" si="335"/>
        <v>3.0821350762527233</v>
      </c>
      <c r="AT196" s="5">
        <f t="shared" si="336"/>
        <v>1.8885631594685801</v>
      </c>
      <c r="AU196" s="177">
        <f t="shared" si="337"/>
        <v>0.62006079027355632</v>
      </c>
      <c r="AW196" s="5">
        <f t="shared" si="275"/>
        <v>3.3132952069716781</v>
      </c>
      <c r="AX196" s="5"/>
      <c r="AY196" s="5">
        <f t="shared" si="276"/>
        <v>1.6566476034858391</v>
      </c>
      <c r="AZ196" s="5"/>
      <c r="BA196" s="5">
        <f t="shared" si="277"/>
        <v>0.30077116984129237</v>
      </c>
      <c r="BB196" s="5"/>
      <c r="BC196" s="5"/>
      <c r="BD196" s="177">
        <f t="shared" si="278"/>
        <v>0.56049038482014402</v>
      </c>
      <c r="BE196" s="177">
        <f t="shared" si="279"/>
        <v>0.35099269389403731</v>
      </c>
      <c r="BF196" s="177">
        <f t="shared" si="280"/>
        <v>0.17549634694701866</v>
      </c>
      <c r="BG196" s="177"/>
      <c r="BH196" s="538">
        <f t="shared" si="281"/>
        <v>0.10995231501654158</v>
      </c>
      <c r="BI196" s="538">
        <f t="shared" si="282"/>
        <v>3.9168000000000008E-2</v>
      </c>
      <c r="BJ196" s="538">
        <f t="shared" si="283"/>
        <v>2.5147372476104681E-3</v>
      </c>
      <c r="BK196" s="538">
        <f t="shared" si="284"/>
        <v>1.0034295069767444E-2</v>
      </c>
      <c r="BL196">
        <f t="shared" si="285"/>
        <v>3.48E-3</v>
      </c>
      <c r="BM196">
        <f t="shared" si="329"/>
        <v>3.5206321466546558E-6</v>
      </c>
      <c r="BN196">
        <f t="shared" si="330"/>
        <v>0.18372348218724127</v>
      </c>
      <c r="BO196" s="469">
        <f t="shared" si="286"/>
        <v>165.14934733391954</v>
      </c>
      <c r="BP196" s="177">
        <f t="shared" si="287"/>
        <v>6.8800000000000014E-2</v>
      </c>
      <c r="BQ196" s="177">
        <f t="shared" si="288"/>
        <v>3.4400000000000007E-2</v>
      </c>
      <c r="BR196" s="538"/>
      <c r="BT196" s="469">
        <f t="shared" si="289"/>
        <v>103.20000000000002</v>
      </c>
      <c r="BU196" s="538">
        <f t="shared" si="290"/>
        <v>3.1414947147583312E-2</v>
      </c>
      <c r="BV196" s="538">
        <f t="shared" si="291"/>
        <v>3.6958761350098009E-3</v>
      </c>
      <c r="BW196" s="538">
        <f t="shared" si="292"/>
        <v>1.5399483895874172E-3</v>
      </c>
      <c r="BX196" s="538">
        <f t="shared" si="293"/>
        <v>0</v>
      </c>
      <c r="BY196" s="538">
        <f t="shared" si="274"/>
        <v>4.1169576011260534E-2</v>
      </c>
      <c r="BZ196" s="538">
        <f t="shared" si="250"/>
        <v>3.6650771672180532E-2</v>
      </c>
      <c r="CA196" s="641">
        <f t="shared" si="331"/>
        <v>1.5288888888888894E-2</v>
      </c>
      <c r="CB196" s="469">
        <f t="shared" si="338"/>
        <v>129.76000824451052</v>
      </c>
      <c r="CC196" s="177">
        <f t="shared" si="251"/>
        <v>0.34338194708739073</v>
      </c>
      <c r="CD196" s="5">
        <f t="shared" si="339"/>
        <v>4.1280000000000001</v>
      </c>
      <c r="CE196" s="177">
        <f t="shared" si="340"/>
        <v>0.92320451458836661</v>
      </c>
      <c r="CF196" s="5">
        <f t="shared" si="341"/>
        <v>92.320451458836658</v>
      </c>
      <c r="CG196">
        <f t="shared" si="342"/>
        <v>86</v>
      </c>
      <c r="CI196" s="571">
        <f t="shared" si="332"/>
        <v>-50</v>
      </c>
      <c r="CJ196">
        <f t="shared" si="333"/>
        <v>-50</v>
      </c>
    </row>
    <row r="197" spans="5:88" x14ac:dyDescent="0.25">
      <c r="E197" s="174">
        <v>87</v>
      </c>
      <c r="F197" s="221">
        <f t="shared" si="334"/>
        <v>0.17400000000000002</v>
      </c>
      <c r="G197" s="221">
        <f t="shared" si="299"/>
        <v>8.7000000000000008E-2</v>
      </c>
      <c r="H197" s="221">
        <f t="shared" si="300"/>
        <v>2.7840000000000003</v>
      </c>
      <c r="I197" s="221">
        <f t="shared" si="301"/>
        <v>1.3920000000000001</v>
      </c>
      <c r="J197" s="551">
        <f t="shared" si="302"/>
        <v>12</v>
      </c>
      <c r="K197" s="451">
        <f t="shared" si="303"/>
        <v>19.584</v>
      </c>
      <c r="L197" s="451">
        <f t="shared" si="304"/>
        <v>31.584</v>
      </c>
      <c r="M197" s="451"/>
      <c r="N197" s="221">
        <f t="shared" si="305"/>
        <v>0.62006079027355621</v>
      </c>
      <c r="O197" s="176">
        <f t="shared" si="306"/>
        <v>3.3483282674772035</v>
      </c>
      <c r="P197" s="176">
        <f t="shared" si="307"/>
        <v>1.6741641337386017</v>
      </c>
      <c r="Q197" s="221">
        <f t="shared" si="308"/>
        <v>0.20927051671732522</v>
      </c>
      <c r="R197" s="221">
        <f t="shared" si="309"/>
        <v>0.20927051671732522</v>
      </c>
      <c r="S197" s="221">
        <f t="shared" si="310"/>
        <v>16</v>
      </c>
      <c r="T197" s="221">
        <f t="shared" si="311"/>
        <v>1.2471895424836601</v>
      </c>
      <c r="U197" s="221">
        <f t="shared" si="312"/>
        <v>3.1179738562091504</v>
      </c>
      <c r="V197" s="221">
        <f t="shared" si="313"/>
        <v>1.9105231962065872</v>
      </c>
      <c r="W197" s="201">
        <f t="shared" si="314"/>
        <v>350</v>
      </c>
      <c r="X197" s="451">
        <f t="shared" si="315"/>
        <v>198.86657774206921</v>
      </c>
      <c r="Z197" s="221">
        <f t="shared" si="316"/>
        <v>0.70864090316977857</v>
      </c>
      <c r="AA197" s="177">
        <f t="shared" si="317"/>
        <v>1.0855405992184108</v>
      </c>
      <c r="AB197" s="177">
        <f t="shared" si="318"/>
        <v>0.1076961858920636</v>
      </c>
      <c r="AC197" s="177"/>
      <c r="AD197" s="177">
        <f t="shared" si="319"/>
        <v>0.4595588235294118</v>
      </c>
      <c r="AE197" s="555">
        <f t="shared" si="320"/>
        <v>3155.2000000000007</v>
      </c>
      <c r="AF197" s="538">
        <f t="shared" si="321"/>
        <v>1.9301470588235291E-2</v>
      </c>
      <c r="AH197" s="177">
        <f t="shared" si="322"/>
        <v>0.8918680235486478</v>
      </c>
      <c r="AI197" s="177">
        <f t="shared" si="323"/>
        <v>1.2471895424836601</v>
      </c>
      <c r="AJ197" s="177">
        <f t="shared" si="324"/>
        <v>1.9016218833212295</v>
      </c>
      <c r="AL197" s="555">
        <f t="shared" si="325"/>
        <v>174.00000000000003</v>
      </c>
      <c r="AM197" s="469">
        <f t="shared" si="326"/>
        <v>198.86657774206921</v>
      </c>
      <c r="AO197">
        <f t="shared" si="327"/>
        <v>174.00000000000003</v>
      </c>
      <c r="AP197">
        <f t="shared" si="328"/>
        <v>198.86657774206921</v>
      </c>
      <c r="AR197" s="5">
        <f t="shared" si="249"/>
        <v>5.0284970524157364</v>
      </c>
      <c r="AS197" s="5">
        <f t="shared" si="335"/>
        <v>3.1179738562091504</v>
      </c>
      <c r="AT197" s="5">
        <f t="shared" si="336"/>
        <v>1.9105231962065861</v>
      </c>
      <c r="AU197" s="177">
        <f t="shared" si="337"/>
        <v>0.62006079027355643</v>
      </c>
      <c r="AW197" s="5">
        <f t="shared" si="275"/>
        <v>3.3907965686274513</v>
      </c>
      <c r="AX197" s="5"/>
      <c r="AY197" s="5">
        <f t="shared" si="276"/>
        <v>1.6953982843137256</v>
      </c>
      <c r="AZ197" s="5"/>
      <c r="BA197" s="5">
        <f t="shared" si="277"/>
        <v>0.30780651494439443</v>
      </c>
      <c r="BB197" s="5"/>
      <c r="BC197" s="5"/>
      <c r="BD197" s="177">
        <f t="shared" si="278"/>
        <v>0.56700771487619228</v>
      </c>
      <c r="BE197" s="177">
        <f t="shared" si="279"/>
        <v>0.35507400428815383</v>
      </c>
      <c r="BF197" s="177">
        <f t="shared" si="280"/>
        <v>0.17753700214407692</v>
      </c>
      <c r="BG197" s="177"/>
      <c r="BH197" s="538">
        <f t="shared" si="281"/>
        <v>0.11252421205519246</v>
      </c>
      <c r="BI197" s="538">
        <f t="shared" si="282"/>
        <v>3.9168000000000008E-2</v>
      </c>
      <c r="BJ197" s="538">
        <f t="shared" si="283"/>
        <v>2.4858322217758649E-3</v>
      </c>
      <c r="BK197" s="538">
        <f t="shared" si="284"/>
        <v>9.9189583448275886E-3</v>
      </c>
      <c r="BL197">
        <f t="shared" si="285"/>
        <v>3.48E-3</v>
      </c>
      <c r="BM197">
        <f t="shared" si="329"/>
        <v>3.4801651104862113E-6</v>
      </c>
      <c r="BN197">
        <f t="shared" si="330"/>
        <v>0.18664615953477398</v>
      </c>
      <c r="BO197" s="469">
        <f t="shared" si="286"/>
        <v>167.57700262179591</v>
      </c>
      <c r="BP197" s="177">
        <f t="shared" si="287"/>
        <v>6.9600000000000009E-2</v>
      </c>
      <c r="BQ197" s="177">
        <f t="shared" si="288"/>
        <v>3.4800000000000005E-2</v>
      </c>
      <c r="BR197" s="538"/>
      <c r="BT197" s="469">
        <f t="shared" si="289"/>
        <v>104.40000000000002</v>
      </c>
      <c r="BU197" s="538">
        <f t="shared" si="290"/>
        <v>3.2149774872912137E-2</v>
      </c>
      <c r="BV197" s="538">
        <f t="shared" si="291"/>
        <v>3.7823264556367162E-3</v>
      </c>
      <c r="BW197" s="538">
        <f t="shared" si="292"/>
        <v>1.5759693565152986E-3</v>
      </c>
      <c r="BX197" s="538">
        <f t="shared" si="293"/>
        <v>0</v>
      </c>
      <c r="BY197" s="538">
        <f t="shared" si="274"/>
        <v>4.2135472790614178E-2</v>
      </c>
      <c r="BZ197" s="538">
        <f t="shared" si="250"/>
        <v>3.7508070685064156E-2</v>
      </c>
      <c r="CA197" s="641">
        <f t="shared" si="331"/>
        <v>1.5466666666666668E-2</v>
      </c>
      <c r="CB197" s="469">
        <f t="shared" si="338"/>
        <v>132.61828082740914</v>
      </c>
      <c r="CC197" s="177">
        <f t="shared" si="251"/>
        <v>0.34864829899205485</v>
      </c>
      <c r="CD197" s="5">
        <f t="shared" si="339"/>
        <v>4.1760000000000002</v>
      </c>
      <c r="CE197" s="177">
        <f t="shared" si="340"/>
        <v>0.92294466310901502</v>
      </c>
      <c r="CF197" s="5">
        <f t="shared" si="341"/>
        <v>92.294466310901498</v>
      </c>
      <c r="CG197">
        <f t="shared" si="342"/>
        <v>87</v>
      </c>
      <c r="CI197" s="571">
        <f t="shared" si="332"/>
        <v>-50</v>
      </c>
      <c r="CJ197">
        <f t="shared" si="333"/>
        <v>-50</v>
      </c>
    </row>
    <row r="198" spans="5:88" x14ac:dyDescent="0.25">
      <c r="E198" s="174">
        <v>88</v>
      </c>
      <c r="F198" s="221">
        <f t="shared" si="334"/>
        <v>0.17600000000000002</v>
      </c>
      <c r="G198" s="221">
        <f t="shared" si="299"/>
        <v>8.8000000000000009E-2</v>
      </c>
      <c r="H198" s="221">
        <f t="shared" si="300"/>
        <v>2.8160000000000003</v>
      </c>
      <c r="I198" s="221">
        <f t="shared" si="301"/>
        <v>1.4080000000000001</v>
      </c>
      <c r="J198" s="551">
        <f t="shared" si="302"/>
        <v>12</v>
      </c>
      <c r="K198" s="451">
        <f t="shared" si="303"/>
        <v>19.584</v>
      </c>
      <c r="L198" s="451">
        <f t="shared" si="304"/>
        <v>31.584</v>
      </c>
      <c r="M198" s="451"/>
      <c r="N198" s="221">
        <f t="shared" si="305"/>
        <v>0.62006079027355621</v>
      </c>
      <c r="O198" s="176">
        <f t="shared" si="306"/>
        <v>3.3483282674772035</v>
      </c>
      <c r="P198" s="176">
        <f t="shared" si="307"/>
        <v>1.6741641337386017</v>
      </c>
      <c r="Q198" s="221">
        <f t="shared" si="308"/>
        <v>0.20927051671732522</v>
      </c>
      <c r="R198" s="221">
        <f t="shared" si="309"/>
        <v>0.20927051671732522</v>
      </c>
      <c r="S198" s="221">
        <f t="shared" si="310"/>
        <v>16</v>
      </c>
      <c r="T198" s="221">
        <f t="shared" si="311"/>
        <v>1.2615250544662309</v>
      </c>
      <c r="U198" s="221">
        <f t="shared" si="312"/>
        <v>3.1538126361655769</v>
      </c>
      <c r="V198" s="221">
        <f t="shared" si="313"/>
        <v>1.9324832329445936</v>
      </c>
      <c r="W198" s="201">
        <f t="shared" si="314"/>
        <v>350</v>
      </c>
      <c r="X198" s="451">
        <f t="shared" si="315"/>
        <v>196.60673026772753</v>
      </c>
      <c r="Z198" s="221">
        <f t="shared" si="316"/>
        <v>0.70864090316977857</v>
      </c>
      <c r="AA198" s="177">
        <f t="shared" si="317"/>
        <v>1.0855405992184108</v>
      </c>
      <c r="AB198" s="177">
        <f t="shared" si="318"/>
        <v>0.1076961858920636</v>
      </c>
      <c r="AC198" s="177"/>
      <c r="AD198" s="177">
        <f t="shared" si="319"/>
        <v>0.4595588235294118</v>
      </c>
      <c r="AE198" s="555">
        <f t="shared" si="320"/>
        <v>3191.4666666666681</v>
      </c>
      <c r="AF198" s="538">
        <f t="shared" si="321"/>
        <v>1.9301470588235291E-2</v>
      </c>
      <c r="AH198" s="177">
        <f t="shared" si="322"/>
        <v>0.89697905693022095</v>
      </c>
      <c r="AI198" s="177">
        <f t="shared" si="323"/>
        <v>1.2615250544662309</v>
      </c>
      <c r="AJ198" s="177">
        <f t="shared" si="324"/>
        <v>1.9122407810860969</v>
      </c>
      <c r="AL198" s="555">
        <f t="shared" si="325"/>
        <v>176.00000000000003</v>
      </c>
      <c r="AM198" s="469">
        <f t="shared" si="326"/>
        <v>196.60673026772753</v>
      </c>
      <c r="AO198">
        <f t="shared" si="327"/>
        <v>176.00000000000003</v>
      </c>
      <c r="AP198">
        <f t="shared" si="328"/>
        <v>196.60673026772753</v>
      </c>
      <c r="AR198" s="5">
        <f t="shared" ref="AR198:AR262" si="343">1/AM198*1000</f>
        <v>5.0862958691101703</v>
      </c>
      <c r="AS198" s="5">
        <f t="shared" si="335"/>
        <v>3.1538126361655769</v>
      </c>
      <c r="AT198" s="5">
        <f t="shared" si="336"/>
        <v>1.9324832329445933</v>
      </c>
      <c r="AU198" s="177">
        <f t="shared" si="337"/>
        <v>0.62006079027355632</v>
      </c>
      <c r="AW198" s="5">
        <f t="shared" si="275"/>
        <v>3.4691938997821352</v>
      </c>
      <c r="AX198" s="5"/>
      <c r="AY198" s="5">
        <f t="shared" si="276"/>
        <v>1.7345969498910676</v>
      </c>
      <c r="AZ198" s="5"/>
      <c r="BA198" s="5">
        <f t="shared" si="277"/>
        <v>0.31492319351689674</v>
      </c>
      <c r="BB198" s="5"/>
      <c r="BC198" s="5"/>
      <c r="BD198" s="177">
        <f t="shared" si="278"/>
        <v>0.57352504493224044</v>
      </c>
      <c r="BE198" s="177">
        <f t="shared" si="279"/>
        <v>0.35915531468227069</v>
      </c>
      <c r="BF198" s="177">
        <f t="shared" si="280"/>
        <v>0.17957765734113534</v>
      </c>
      <c r="BG198" s="177"/>
      <c r="BH198" s="538">
        <f t="shared" si="281"/>
        <v>0.11512584200758494</v>
      </c>
      <c r="BI198" s="538">
        <f t="shared" si="282"/>
        <v>3.9168000000000001E-2</v>
      </c>
      <c r="BJ198" s="538">
        <f t="shared" si="283"/>
        <v>2.4575841283465938E-3</v>
      </c>
      <c r="BK198" s="538">
        <f t="shared" si="284"/>
        <v>9.8062429090909117E-3</v>
      </c>
      <c r="BL198">
        <f t="shared" si="285"/>
        <v>3.48E-3</v>
      </c>
      <c r="BM198">
        <f t="shared" si="329"/>
        <v>3.4406177796852318E-6</v>
      </c>
      <c r="BN198">
        <f t="shared" si="330"/>
        <v>0.18961056279971017</v>
      </c>
      <c r="BO198" s="469">
        <f t="shared" si="286"/>
        <v>170.03766904502245</v>
      </c>
      <c r="BP198" s="177">
        <f t="shared" si="287"/>
        <v>7.0400000000000004E-2</v>
      </c>
      <c r="BQ198" s="177">
        <f t="shared" si="288"/>
        <v>3.5200000000000002E-2</v>
      </c>
      <c r="BR198" s="538"/>
      <c r="BT198" s="469">
        <f t="shared" si="289"/>
        <v>105.6</v>
      </c>
      <c r="BU198" s="538">
        <f t="shared" si="290"/>
        <v>3.2893097716452845E-2</v>
      </c>
      <c r="BV198" s="538">
        <f t="shared" si="291"/>
        <v>3.8697762019356263E-3</v>
      </c>
      <c r="BW198" s="538">
        <f t="shared" si="292"/>
        <v>1.612406750806511E-3</v>
      </c>
      <c r="BX198" s="538">
        <f t="shared" si="293"/>
        <v>0</v>
      </c>
      <c r="BY198" s="538">
        <f t="shared" si="274"/>
        <v>4.3112671218170071E-2</v>
      </c>
      <c r="BZ198" s="538">
        <f t="shared" ref="BZ198:BZ210" si="344">SUM(BU198:BX198)</f>
        <v>3.8375280669194982E-2</v>
      </c>
      <c r="CA198" s="641">
        <f t="shared" si="331"/>
        <v>1.5644444444444447E-2</v>
      </c>
      <c r="CB198" s="469">
        <f t="shared" si="338"/>
        <v>135.50767700100448</v>
      </c>
      <c r="CC198" s="177">
        <f t="shared" ref="CC198:CC210" si="345">SUM(BN198,BP198:BS198,BY198, CA198)</f>
        <v>0.35396767846232474</v>
      </c>
      <c r="CD198" s="5">
        <f t="shared" si="339"/>
        <v>4.2240000000000002</v>
      </c>
      <c r="CE198" s="177">
        <f t="shared" si="340"/>
        <v>0.92268017091347898</v>
      </c>
      <c r="CF198" s="5">
        <f t="shared" si="341"/>
        <v>92.2680170913479</v>
      </c>
      <c r="CG198">
        <f t="shared" si="342"/>
        <v>88</v>
      </c>
      <c r="CI198" s="571">
        <f t="shared" si="332"/>
        <v>-50</v>
      </c>
      <c r="CJ198">
        <f t="shared" si="333"/>
        <v>-50</v>
      </c>
    </row>
    <row r="199" spans="5:88" x14ac:dyDescent="0.25">
      <c r="E199" s="174">
        <v>89</v>
      </c>
      <c r="F199" s="221">
        <f t="shared" si="334"/>
        <v>0.17800000000000002</v>
      </c>
      <c r="G199" s="221">
        <f t="shared" si="299"/>
        <v>8.900000000000001E-2</v>
      </c>
      <c r="H199" s="221">
        <f t="shared" si="300"/>
        <v>2.8480000000000003</v>
      </c>
      <c r="I199" s="221">
        <f t="shared" si="301"/>
        <v>1.4240000000000002</v>
      </c>
      <c r="J199" s="551">
        <f t="shared" si="302"/>
        <v>12</v>
      </c>
      <c r="K199" s="451">
        <f t="shared" si="303"/>
        <v>19.584</v>
      </c>
      <c r="L199" s="451">
        <f t="shared" si="304"/>
        <v>31.584</v>
      </c>
      <c r="M199" s="451"/>
      <c r="N199" s="221">
        <f t="shared" si="305"/>
        <v>0.62006079027355621</v>
      </c>
      <c r="O199" s="176">
        <f t="shared" si="306"/>
        <v>3.3483282674772035</v>
      </c>
      <c r="P199" s="176">
        <f t="shared" si="307"/>
        <v>1.6741641337386017</v>
      </c>
      <c r="Q199" s="221">
        <f t="shared" si="308"/>
        <v>0.20927051671732522</v>
      </c>
      <c r="R199" s="221">
        <f t="shared" si="309"/>
        <v>0.20927051671732522</v>
      </c>
      <c r="S199" s="221">
        <f t="shared" si="310"/>
        <v>16</v>
      </c>
      <c r="T199" s="221">
        <f t="shared" si="311"/>
        <v>1.2758605664488016</v>
      </c>
      <c r="U199" s="221">
        <f t="shared" si="312"/>
        <v>3.1896514161220044</v>
      </c>
      <c r="V199" s="221">
        <f t="shared" si="313"/>
        <v>1.9544432696826011</v>
      </c>
      <c r="W199" s="201">
        <f t="shared" si="314"/>
        <v>350</v>
      </c>
      <c r="X199" s="451">
        <f t="shared" si="315"/>
        <v>194.39766588269683</v>
      </c>
      <c r="Z199" s="221">
        <f t="shared" si="316"/>
        <v>0.70864090316977857</v>
      </c>
      <c r="AA199" s="177">
        <f t="shared" si="317"/>
        <v>1.0855405992184108</v>
      </c>
      <c r="AB199" s="177">
        <f t="shared" si="318"/>
        <v>0.1076961858920636</v>
      </c>
      <c r="AC199" s="177"/>
      <c r="AD199" s="177">
        <f t="shared" si="319"/>
        <v>0.4595588235294118</v>
      </c>
      <c r="AE199" s="555">
        <f t="shared" si="320"/>
        <v>3227.733333333334</v>
      </c>
      <c r="AF199" s="538">
        <f t="shared" si="321"/>
        <v>1.9301470588235291E-2</v>
      </c>
      <c r="AH199" s="177">
        <f t="shared" si="322"/>
        <v>0.90206113191639381</v>
      </c>
      <c r="AI199" s="177">
        <f t="shared" si="323"/>
        <v>1.2758605664488016</v>
      </c>
      <c r="AJ199" s="177">
        <f t="shared" si="324"/>
        <v>1.9228596788509642</v>
      </c>
      <c r="AL199" s="555">
        <f t="shared" si="325"/>
        <v>178.00000000000003</v>
      </c>
      <c r="AM199" s="469">
        <f t="shared" si="326"/>
        <v>194.39766588269683</v>
      </c>
      <c r="AO199">
        <f t="shared" si="327"/>
        <v>178.00000000000003</v>
      </c>
      <c r="AP199">
        <f t="shared" si="328"/>
        <v>194.39766588269683</v>
      </c>
      <c r="AR199" s="5">
        <f t="shared" si="343"/>
        <v>5.144094685804605</v>
      </c>
      <c r="AS199" s="5">
        <f t="shared" si="335"/>
        <v>3.1896514161220044</v>
      </c>
      <c r="AT199" s="5">
        <f t="shared" si="336"/>
        <v>1.9544432696826006</v>
      </c>
      <c r="AU199" s="177">
        <f t="shared" si="337"/>
        <v>0.62006079027355621</v>
      </c>
      <c r="AW199" s="5">
        <f t="shared" si="275"/>
        <v>3.54848720043573</v>
      </c>
      <c r="AX199" s="5"/>
      <c r="AY199" s="5">
        <f t="shared" si="276"/>
        <v>1.774243600217865</v>
      </c>
      <c r="AZ199" s="5"/>
      <c r="BA199" s="5">
        <f t="shared" si="277"/>
        <v>0.32212120555879897</v>
      </c>
      <c r="BB199" s="5"/>
      <c r="BC199" s="5"/>
      <c r="BD199" s="177">
        <f t="shared" si="278"/>
        <v>0.58004237498828859</v>
      </c>
      <c r="BE199" s="177">
        <f t="shared" si="279"/>
        <v>0.36323662507638732</v>
      </c>
      <c r="BF199" s="177">
        <f t="shared" si="280"/>
        <v>0.18161831253819366</v>
      </c>
      <c r="BG199" s="177"/>
      <c r="BH199" s="538">
        <f t="shared" si="281"/>
        <v>0.11775720487371903</v>
      </c>
      <c r="BI199" s="538">
        <f t="shared" si="282"/>
        <v>3.9167999999999994E-2</v>
      </c>
      <c r="BJ199" s="538">
        <f t="shared" si="283"/>
        <v>2.42997082353371E-3</v>
      </c>
      <c r="BK199" s="538">
        <f t="shared" si="284"/>
        <v>9.6960604044943818E-3</v>
      </c>
      <c r="BL199">
        <f t="shared" si="285"/>
        <v>3.48E-3</v>
      </c>
      <c r="BM199">
        <f t="shared" si="329"/>
        <v>3.4019591529471949E-6</v>
      </c>
      <c r="BN199">
        <f t="shared" si="330"/>
        <v>0.19261669028338493</v>
      </c>
      <c r="BO199" s="469">
        <f t="shared" si="286"/>
        <v>172.53123610174714</v>
      </c>
      <c r="BP199" s="177">
        <f t="shared" si="287"/>
        <v>7.1200000000000013E-2</v>
      </c>
      <c r="BQ199" s="177">
        <f t="shared" si="288"/>
        <v>3.5600000000000007E-2</v>
      </c>
      <c r="BR199" s="538"/>
      <c r="BT199" s="469">
        <f t="shared" si="289"/>
        <v>106.80000000000003</v>
      </c>
      <c r="BU199" s="538">
        <f t="shared" si="290"/>
        <v>3.3644915678205441E-2</v>
      </c>
      <c r="BV199" s="538">
        <f t="shared" si="291"/>
        <v>3.9582253739065196E-3</v>
      </c>
      <c r="BW199" s="538">
        <f t="shared" si="292"/>
        <v>1.6492605724610497E-3</v>
      </c>
      <c r="BX199" s="538">
        <f t="shared" si="293"/>
        <v>0</v>
      </c>
      <c r="BY199" s="538">
        <f t="shared" si="274"/>
        <v>4.4101175985272967E-2</v>
      </c>
      <c r="BZ199" s="538">
        <f t="shared" si="344"/>
        <v>3.9252401624573011E-2</v>
      </c>
      <c r="CA199" s="641">
        <f t="shared" si="331"/>
        <v>1.582222222222222E-2</v>
      </c>
      <c r="CB199" s="469">
        <f t="shared" si="338"/>
        <v>138.4282014566412</v>
      </c>
      <c r="CC199" s="177">
        <f t="shared" si="345"/>
        <v>0.35934008849088017</v>
      </c>
      <c r="CD199" s="5">
        <f t="shared" si="339"/>
        <v>4.2720000000000002</v>
      </c>
      <c r="CE199" s="177">
        <f t="shared" si="340"/>
        <v>0.92241120677277433</v>
      </c>
      <c r="CF199" s="5">
        <f t="shared" si="341"/>
        <v>92.241120677277436</v>
      </c>
      <c r="CG199">
        <f t="shared" si="342"/>
        <v>89</v>
      </c>
      <c r="CI199" s="571">
        <f t="shared" si="332"/>
        <v>-50</v>
      </c>
      <c r="CJ199">
        <f t="shared" si="333"/>
        <v>-50</v>
      </c>
    </row>
    <row r="200" spans="5:88" x14ac:dyDescent="0.25">
      <c r="E200" s="174">
        <v>90</v>
      </c>
      <c r="F200" s="221">
        <f t="shared" si="334"/>
        <v>0.18000000000000002</v>
      </c>
      <c r="G200" s="221">
        <f t="shared" si="299"/>
        <v>9.0000000000000011E-2</v>
      </c>
      <c r="H200" s="221">
        <f t="shared" si="300"/>
        <v>2.8800000000000003</v>
      </c>
      <c r="I200" s="221">
        <f t="shared" si="301"/>
        <v>1.4400000000000002</v>
      </c>
      <c r="J200" s="551">
        <f t="shared" si="302"/>
        <v>12</v>
      </c>
      <c r="K200" s="451">
        <f t="shared" si="303"/>
        <v>19.584</v>
      </c>
      <c r="L200" s="451">
        <f t="shared" si="304"/>
        <v>31.584</v>
      </c>
      <c r="M200" s="451"/>
      <c r="N200" s="221">
        <f t="shared" si="305"/>
        <v>0.62006079027355621</v>
      </c>
      <c r="O200" s="176">
        <f t="shared" si="306"/>
        <v>3.3483282674772035</v>
      </c>
      <c r="P200" s="176">
        <f t="shared" si="307"/>
        <v>1.6741641337386017</v>
      </c>
      <c r="Q200" s="221">
        <f t="shared" si="308"/>
        <v>0.20927051671732522</v>
      </c>
      <c r="R200" s="221">
        <f t="shared" si="309"/>
        <v>0.20927051671732522</v>
      </c>
      <c r="S200" s="221">
        <f t="shared" si="310"/>
        <v>16</v>
      </c>
      <c r="T200" s="221">
        <f t="shared" si="311"/>
        <v>1.2901960784313726</v>
      </c>
      <c r="U200" s="221">
        <f t="shared" si="312"/>
        <v>3.2254901960784319</v>
      </c>
      <c r="V200" s="221">
        <f t="shared" si="313"/>
        <v>1.9764033064206079</v>
      </c>
      <c r="W200" s="201">
        <f t="shared" si="314"/>
        <v>350</v>
      </c>
      <c r="X200" s="451">
        <f t="shared" si="315"/>
        <v>192.23769181733348</v>
      </c>
      <c r="Z200" s="221">
        <f t="shared" si="316"/>
        <v>0.70864090316977857</v>
      </c>
      <c r="AA200" s="177">
        <f t="shared" si="317"/>
        <v>1.0855405992184108</v>
      </c>
      <c r="AB200" s="177">
        <f t="shared" si="318"/>
        <v>0.1076961858920636</v>
      </c>
      <c r="AC200" s="177"/>
      <c r="AD200" s="177">
        <f t="shared" si="319"/>
        <v>0.4595588235294118</v>
      </c>
      <c r="AE200" s="555">
        <f t="shared" si="320"/>
        <v>3264.0000000000009</v>
      </c>
      <c r="AF200" s="538">
        <f t="shared" si="321"/>
        <v>1.9301470588235291E-2</v>
      </c>
      <c r="AH200" s="177">
        <f t="shared" si="322"/>
        <v>0.90711473522214536</v>
      </c>
      <c r="AI200" s="177">
        <f t="shared" si="323"/>
        <v>1.2901960784313726</v>
      </c>
      <c r="AJ200" s="177">
        <f t="shared" si="324"/>
        <v>1.9334785766158316</v>
      </c>
      <c r="AL200" s="555">
        <f t="shared" si="325"/>
        <v>180.00000000000003</v>
      </c>
      <c r="AM200" s="469">
        <f t="shared" si="326"/>
        <v>192.23769181733348</v>
      </c>
      <c r="AO200">
        <f t="shared" si="327"/>
        <v>180.00000000000003</v>
      </c>
      <c r="AP200">
        <f t="shared" si="328"/>
        <v>192.23769181733348</v>
      </c>
      <c r="AR200" s="5">
        <f t="shared" si="343"/>
        <v>5.2018935024990407</v>
      </c>
      <c r="AS200" s="5">
        <f t="shared" si="335"/>
        <v>3.2254901960784319</v>
      </c>
      <c r="AT200" s="5">
        <f t="shared" si="336"/>
        <v>1.9764033064206088</v>
      </c>
      <c r="AU200" s="177">
        <f t="shared" si="337"/>
        <v>0.6200607902735561</v>
      </c>
      <c r="AW200" s="5">
        <f t="shared" si="275"/>
        <v>3.6286764705882368</v>
      </c>
      <c r="AX200" s="5"/>
      <c r="AY200" s="5">
        <f t="shared" si="276"/>
        <v>1.8143382352941184</v>
      </c>
      <c r="AZ200" s="5"/>
      <c r="BA200" s="5">
        <f t="shared" si="277"/>
        <v>0.32940055107010147</v>
      </c>
      <c r="BB200" s="5"/>
      <c r="BC200" s="5"/>
      <c r="BD200" s="177">
        <f t="shared" si="278"/>
        <v>0.58655970504433674</v>
      </c>
      <c r="BE200" s="177">
        <f t="shared" si="279"/>
        <v>0.36731793547050418</v>
      </c>
      <c r="BF200" s="177">
        <f t="shared" si="280"/>
        <v>0.18365896773525209</v>
      </c>
      <c r="BG200" s="177"/>
      <c r="BH200" s="538">
        <f t="shared" si="281"/>
        <v>0.12041830065359475</v>
      </c>
      <c r="BI200" s="538">
        <f t="shared" si="282"/>
        <v>3.9167999999999994E-2</v>
      </c>
      <c r="BJ200" s="538">
        <f t="shared" si="283"/>
        <v>2.4029711477166686E-3</v>
      </c>
      <c r="BK200" s="538">
        <f t="shared" si="284"/>
        <v>9.5883263999999961E-3</v>
      </c>
      <c r="BL200">
        <f t="shared" si="285"/>
        <v>3.48E-3</v>
      </c>
      <c r="BM200">
        <f t="shared" si="329"/>
        <v>3.3641596068033363E-6</v>
      </c>
      <c r="BN200">
        <f t="shared" si="330"/>
        <v>0.19566454671250283</v>
      </c>
      <c r="BO200" s="469">
        <f t="shared" si="286"/>
        <v>175.05759820131141</v>
      </c>
      <c r="BP200" s="177">
        <f t="shared" si="287"/>
        <v>7.2000000000000008E-2</v>
      </c>
      <c r="BQ200" s="177">
        <f t="shared" si="288"/>
        <v>3.6000000000000004E-2</v>
      </c>
      <c r="BR200" s="538"/>
      <c r="BT200" s="469">
        <f t="shared" si="289"/>
        <v>108.00000000000001</v>
      </c>
      <c r="BU200" s="538">
        <f t="shared" si="290"/>
        <v>3.4405228758169933E-2</v>
      </c>
      <c r="BV200" s="538">
        <f t="shared" si="291"/>
        <v>4.0476739715494033E-3</v>
      </c>
      <c r="BW200" s="538">
        <f t="shared" si="292"/>
        <v>1.6865308214789182E-3</v>
      </c>
      <c r="BX200" s="538">
        <f t="shared" si="293"/>
        <v>0</v>
      </c>
      <c r="BY200" s="538">
        <f t="shared" si="274"/>
        <v>4.510099183854175E-2</v>
      </c>
      <c r="BZ200" s="538">
        <f t="shared" si="344"/>
        <v>4.0139433551198256E-2</v>
      </c>
      <c r="CA200" s="641">
        <f t="shared" si="331"/>
        <v>1.6E-2</v>
      </c>
      <c r="CB200" s="469">
        <f t="shared" si="338"/>
        <v>141.37985894093825</v>
      </c>
      <c r="CC200" s="177">
        <f t="shared" si="345"/>
        <v>0.36476553855104465</v>
      </c>
      <c r="CD200" s="5">
        <f t="shared" si="339"/>
        <v>4.32</v>
      </c>
      <c r="CE200" s="177">
        <f t="shared" si="340"/>
        <v>0.92213793079944328</v>
      </c>
      <c r="CF200" s="5">
        <f t="shared" si="341"/>
        <v>92.213793079944324</v>
      </c>
      <c r="CG200">
        <f t="shared" si="342"/>
        <v>90</v>
      </c>
      <c r="CI200" s="571">
        <f t="shared" si="332"/>
        <v>-50</v>
      </c>
      <c r="CJ200">
        <f t="shared" si="333"/>
        <v>-50</v>
      </c>
    </row>
    <row r="201" spans="5:88" x14ac:dyDescent="0.25">
      <c r="E201" s="174">
        <v>91</v>
      </c>
      <c r="F201" s="221">
        <f t="shared" si="334"/>
        <v>0.18200000000000002</v>
      </c>
      <c r="G201" s="221">
        <f t="shared" si="299"/>
        <v>9.1000000000000011E-2</v>
      </c>
      <c r="H201" s="221">
        <f t="shared" si="300"/>
        <v>2.9120000000000004</v>
      </c>
      <c r="I201" s="221">
        <f t="shared" si="301"/>
        <v>1.4560000000000002</v>
      </c>
      <c r="J201" s="551">
        <f t="shared" si="302"/>
        <v>12</v>
      </c>
      <c r="K201" s="451">
        <f t="shared" si="303"/>
        <v>19.584</v>
      </c>
      <c r="L201" s="451">
        <f t="shared" si="304"/>
        <v>31.584</v>
      </c>
      <c r="M201" s="451"/>
      <c r="N201" s="221">
        <f t="shared" si="305"/>
        <v>0.62006079027355621</v>
      </c>
      <c r="O201" s="176">
        <f t="shared" si="306"/>
        <v>3.3483282674772035</v>
      </c>
      <c r="P201" s="176">
        <f t="shared" si="307"/>
        <v>1.6741641337386017</v>
      </c>
      <c r="Q201" s="221">
        <f t="shared" si="308"/>
        <v>0.20927051671732522</v>
      </c>
      <c r="R201" s="221">
        <f t="shared" si="309"/>
        <v>0.20927051671732522</v>
      </c>
      <c r="S201" s="221">
        <f t="shared" si="310"/>
        <v>16</v>
      </c>
      <c r="T201" s="221">
        <f t="shared" si="311"/>
        <v>1.3045315904139434</v>
      </c>
      <c r="U201" s="221">
        <f t="shared" si="312"/>
        <v>3.2613289760348589</v>
      </c>
      <c r="V201" s="221">
        <f t="shared" si="313"/>
        <v>1.9983633431586145</v>
      </c>
      <c r="W201" s="201">
        <f t="shared" si="314"/>
        <v>350</v>
      </c>
      <c r="X201" s="451">
        <f t="shared" si="315"/>
        <v>190.12518970945072</v>
      </c>
      <c r="Z201" s="221">
        <f t="shared" si="316"/>
        <v>0.70864090316977857</v>
      </c>
      <c r="AA201" s="177">
        <f t="shared" si="317"/>
        <v>1.0855405992184108</v>
      </c>
      <c r="AB201" s="177">
        <f t="shared" si="318"/>
        <v>0.1076961858920636</v>
      </c>
      <c r="AC201" s="177"/>
      <c r="AD201" s="177">
        <f t="shared" si="319"/>
        <v>0.4595588235294118</v>
      </c>
      <c r="AE201" s="555">
        <f t="shared" si="320"/>
        <v>3300.2666666666678</v>
      </c>
      <c r="AF201" s="538">
        <f t="shared" si="321"/>
        <v>1.9301470588235291E-2</v>
      </c>
      <c r="AH201" s="177">
        <f t="shared" si="322"/>
        <v>0.91214034007931044</v>
      </c>
      <c r="AI201" s="177">
        <f t="shared" si="323"/>
        <v>1.3045315904139434</v>
      </c>
      <c r="AJ201" s="177">
        <f t="shared" si="324"/>
        <v>1.9440974743806987</v>
      </c>
      <c r="AL201" s="555">
        <f t="shared" si="325"/>
        <v>182.00000000000003</v>
      </c>
      <c r="AM201" s="469">
        <f t="shared" si="326"/>
        <v>190.12518970945072</v>
      </c>
      <c r="AO201">
        <f t="shared" si="327"/>
        <v>182.00000000000003</v>
      </c>
      <c r="AP201">
        <f t="shared" si="328"/>
        <v>190.12518970945072</v>
      </c>
      <c r="AR201" s="5">
        <f t="shared" si="343"/>
        <v>5.2596923191934737</v>
      </c>
      <c r="AS201" s="5">
        <f t="shared" si="335"/>
        <v>3.2613289760348589</v>
      </c>
      <c r="AT201" s="5">
        <f t="shared" si="336"/>
        <v>1.9983633431586147</v>
      </c>
      <c r="AU201" s="177">
        <f t="shared" si="337"/>
        <v>0.62006079027355621</v>
      </c>
      <c r="AW201" s="5">
        <f t="shared" si="275"/>
        <v>3.7097617102396527</v>
      </c>
      <c r="AX201" s="5"/>
      <c r="AY201" s="5">
        <f t="shared" si="276"/>
        <v>1.8548808551198264</v>
      </c>
      <c r="AZ201" s="5"/>
      <c r="BA201" s="5">
        <f t="shared" si="277"/>
        <v>0.33676123005080361</v>
      </c>
      <c r="BB201" s="5"/>
      <c r="BC201" s="5"/>
      <c r="BD201" s="177">
        <f t="shared" si="278"/>
        <v>0.59307703510038501</v>
      </c>
      <c r="BE201" s="177">
        <f t="shared" si="279"/>
        <v>0.37139924586462081</v>
      </c>
      <c r="BF201" s="177">
        <f t="shared" si="280"/>
        <v>0.1856996229323104</v>
      </c>
      <c r="BG201" s="177"/>
      <c r="BH201" s="538">
        <f t="shared" si="281"/>
        <v>0.12310912934721216</v>
      </c>
      <c r="BI201" s="538">
        <f t="shared" si="282"/>
        <v>3.9167999999999994E-2</v>
      </c>
      <c r="BJ201" s="538">
        <f t="shared" si="283"/>
        <v>2.3765648713681342E-3</v>
      </c>
      <c r="BK201" s="538">
        <f t="shared" si="284"/>
        <v>9.482960175824175E-3</v>
      </c>
      <c r="BL201">
        <f t="shared" si="285"/>
        <v>3.48E-3</v>
      </c>
      <c r="BM201">
        <f t="shared" si="329"/>
        <v>3.327190819915388E-6</v>
      </c>
      <c r="BN201">
        <f t="shared" si="330"/>
        <v>0.19875414297916846</v>
      </c>
      <c r="BO201" s="469">
        <f t="shared" si="286"/>
        <v>177.61665439440449</v>
      </c>
      <c r="BP201" s="177">
        <f t="shared" si="287"/>
        <v>7.2800000000000017E-2</v>
      </c>
      <c r="BQ201" s="177">
        <f t="shared" si="288"/>
        <v>3.6400000000000009E-2</v>
      </c>
      <c r="BR201" s="538"/>
      <c r="BT201" s="469">
        <f t="shared" si="289"/>
        <v>109.20000000000002</v>
      </c>
      <c r="BU201" s="538">
        <f t="shared" si="290"/>
        <v>3.5174036956346334E-2</v>
      </c>
      <c r="BV201" s="538">
        <f t="shared" si="291"/>
        <v>4.1381219948642715E-3</v>
      </c>
      <c r="BW201" s="538">
        <f t="shared" si="292"/>
        <v>1.7242174978601135E-3</v>
      </c>
      <c r="BX201" s="538">
        <f t="shared" si="293"/>
        <v>0</v>
      </c>
      <c r="BY201" s="538">
        <f t="shared" si="274"/>
        <v>4.6112123579926563E-2</v>
      </c>
      <c r="BZ201" s="538">
        <f t="shared" si="344"/>
        <v>4.1036376449070718E-2</v>
      </c>
      <c r="CA201" s="641">
        <f t="shared" si="331"/>
        <v>1.6177777777777774E-2</v>
      </c>
      <c r="CB201" s="469">
        <f t="shared" si="338"/>
        <v>144.36265425584577</v>
      </c>
      <c r="CC201" s="177">
        <f t="shared" si="345"/>
        <v>0.3702440443368728</v>
      </c>
      <c r="CD201" s="5">
        <f t="shared" si="339"/>
        <v>4.3680000000000003</v>
      </c>
      <c r="CE201" s="177">
        <f t="shared" si="340"/>
        <v>0.92186049496977973</v>
      </c>
      <c r="CF201" s="5">
        <f t="shared" si="341"/>
        <v>92.186049496977972</v>
      </c>
      <c r="CG201">
        <f t="shared" si="342"/>
        <v>91</v>
      </c>
      <c r="CI201" s="571">
        <f t="shared" si="332"/>
        <v>-50</v>
      </c>
      <c r="CJ201">
        <f t="shared" si="333"/>
        <v>-50</v>
      </c>
    </row>
    <row r="202" spans="5:88" x14ac:dyDescent="0.25">
      <c r="E202" s="174">
        <v>92</v>
      </c>
      <c r="F202" s="221">
        <f t="shared" si="334"/>
        <v>0.18400000000000002</v>
      </c>
      <c r="G202" s="221">
        <f t="shared" si="299"/>
        <v>9.2000000000000012E-2</v>
      </c>
      <c r="H202" s="221">
        <f t="shared" si="300"/>
        <v>2.9440000000000004</v>
      </c>
      <c r="I202" s="221">
        <f t="shared" si="301"/>
        <v>1.4720000000000002</v>
      </c>
      <c r="J202" s="551">
        <f t="shared" si="302"/>
        <v>12</v>
      </c>
      <c r="K202" s="451">
        <f t="shared" si="303"/>
        <v>19.584</v>
      </c>
      <c r="L202" s="451">
        <f t="shared" si="304"/>
        <v>31.584</v>
      </c>
      <c r="M202" s="451"/>
      <c r="N202" s="221">
        <f t="shared" si="305"/>
        <v>0.62006079027355621</v>
      </c>
      <c r="O202" s="176">
        <f t="shared" si="306"/>
        <v>3.3483282674772035</v>
      </c>
      <c r="P202" s="176">
        <f t="shared" si="307"/>
        <v>1.6741641337386017</v>
      </c>
      <c r="Q202" s="221">
        <f t="shared" si="308"/>
        <v>0.20927051671732522</v>
      </c>
      <c r="R202" s="221">
        <f t="shared" si="309"/>
        <v>0.20927051671732522</v>
      </c>
      <c r="S202" s="221">
        <f t="shared" si="310"/>
        <v>16</v>
      </c>
      <c r="T202" s="221">
        <f t="shared" si="311"/>
        <v>1.3188671023965142</v>
      </c>
      <c r="U202" s="221">
        <f t="shared" si="312"/>
        <v>3.2971677559912855</v>
      </c>
      <c r="V202" s="221">
        <f t="shared" si="313"/>
        <v>2.0203233798966211</v>
      </c>
      <c r="W202" s="201">
        <f t="shared" si="314"/>
        <v>350</v>
      </c>
      <c r="X202" s="451">
        <f t="shared" si="315"/>
        <v>188.05861156043497</v>
      </c>
      <c r="Z202" s="221">
        <f t="shared" si="316"/>
        <v>0.70864090316977857</v>
      </c>
      <c r="AA202" s="177">
        <f t="shared" si="317"/>
        <v>1.0855405992184108</v>
      </c>
      <c r="AB202" s="177">
        <f t="shared" si="318"/>
        <v>0.1076961858920636</v>
      </c>
      <c r="AC202" s="177"/>
      <c r="AD202" s="177">
        <f t="shared" si="319"/>
        <v>0.4595588235294118</v>
      </c>
      <c r="AE202" s="555">
        <f t="shared" si="320"/>
        <v>3336.5333333333342</v>
      </c>
      <c r="AF202" s="538">
        <f t="shared" si="321"/>
        <v>1.9301470588235291E-2</v>
      </c>
      <c r="AH202" s="177">
        <f t="shared" si="322"/>
        <v>0.91713840675377734</v>
      </c>
      <c r="AI202" s="177">
        <f t="shared" si="323"/>
        <v>1.3188671023965142</v>
      </c>
      <c r="AJ202" s="177">
        <f t="shared" si="324"/>
        <v>1.954716372145566</v>
      </c>
      <c r="AL202" s="555">
        <f t="shared" si="325"/>
        <v>184.00000000000003</v>
      </c>
      <c r="AM202" s="469">
        <f t="shared" si="326"/>
        <v>188.05861156043497</v>
      </c>
      <c r="AO202">
        <f t="shared" si="327"/>
        <v>184.00000000000003</v>
      </c>
      <c r="AP202">
        <f t="shared" si="328"/>
        <v>188.05861156043497</v>
      </c>
      <c r="AR202" s="5">
        <f t="shared" si="343"/>
        <v>5.3174911358879067</v>
      </c>
      <c r="AS202" s="5">
        <f t="shared" si="335"/>
        <v>3.2971677559912855</v>
      </c>
      <c r="AT202" s="5">
        <f t="shared" si="336"/>
        <v>2.0203233798966211</v>
      </c>
      <c r="AU202" s="177">
        <f t="shared" si="337"/>
        <v>0.62006079027355621</v>
      </c>
      <c r="AW202" s="5">
        <f t="shared" si="275"/>
        <v>3.791742919389979</v>
      </c>
      <c r="AX202" s="5"/>
      <c r="AY202" s="5">
        <f t="shared" si="276"/>
        <v>1.8958714596949895</v>
      </c>
      <c r="AZ202" s="5"/>
      <c r="BA202" s="5">
        <f t="shared" si="277"/>
        <v>0.34420324250090578</v>
      </c>
      <c r="BB202" s="5"/>
      <c r="BC202" s="5"/>
      <c r="BD202" s="177">
        <f t="shared" si="278"/>
        <v>0.59959436515643316</v>
      </c>
      <c r="BE202" s="177">
        <f t="shared" si="279"/>
        <v>0.37548055625873755</v>
      </c>
      <c r="BF202" s="177">
        <f t="shared" si="280"/>
        <v>0.18774027812936878</v>
      </c>
      <c r="BG202" s="177"/>
      <c r="BH202" s="538">
        <f t="shared" si="281"/>
        <v>0.12582969095457114</v>
      </c>
      <c r="BI202" s="538">
        <f t="shared" si="282"/>
        <v>3.9167999999999994E-2</v>
      </c>
      <c r="BJ202" s="538">
        <f t="shared" si="283"/>
        <v>2.3507326445054368E-3</v>
      </c>
      <c r="BK202" s="538">
        <f t="shared" si="284"/>
        <v>9.3798845217391309E-3</v>
      </c>
      <c r="BL202">
        <f t="shared" si="285"/>
        <v>3.48E-3</v>
      </c>
      <c r="BM202">
        <f t="shared" si="329"/>
        <v>3.2910257023076121E-6</v>
      </c>
      <c r="BN202">
        <f t="shared" si="330"/>
        <v>0.2018854958986776</v>
      </c>
      <c r="BO202" s="469">
        <f t="shared" si="286"/>
        <v>180.2083081208157</v>
      </c>
      <c r="BP202" s="177">
        <f t="shared" si="287"/>
        <v>7.3600000000000013E-2</v>
      </c>
      <c r="BQ202" s="177">
        <f t="shared" si="288"/>
        <v>3.6800000000000006E-2</v>
      </c>
      <c r="BR202" s="538"/>
      <c r="BT202" s="469">
        <f t="shared" si="289"/>
        <v>110.40000000000002</v>
      </c>
      <c r="BU202" s="538">
        <f t="shared" si="290"/>
        <v>3.5951340272734611E-2</v>
      </c>
      <c r="BV202" s="538">
        <f t="shared" si="291"/>
        <v>4.2295694438511293E-3</v>
      </c>
      <c r="BW202" s="538">
        <f t="shared" si="292"/>
        <v>1.7623206016046371E-3</v>
      </c>
      <c r="BX202" s="538">
        <f t="shared" si="293"/>
        <v>0</v>
      </c>
      <c r="BY202" s="538">
        <f t="shared" si="274"/>
        <v>4.7134576066766722E-2</v>
      </c>
      <c r="BZ202" s="538">
        <f t="shared" si="344"/>
        <v>4.1943230318190382E-2</v>
      </c>
      <c r="CA202" s="641">
        <f t="shared" si="331"/>
        <v>1.6355555555555554E-2</v>
      </c>
      <c r="CB202" s="469">
        <f t="shared" si="338"/>
        <v>147.37659225870303</v>
      </c>
      <c r="CC202" s="177">
        <f t="shared" si="345"/>
        <v>0.37577562752099991</v>
      </c>
      <c r="CD202" s="5">
        <f t="shared" si="339"/>
        <v>4.4160000000000004</v>
      </c>
      <c r="CE202" s="177">
        <f t="shared" si="340"/>
        <v>0.92157904360905873</v>
      </c>
      <c r="CF202" s="5">
        <f t="shared" si="341"/>
        <v>92.157904360905874</v>
      </c>
      <c r="CG202">
        <f t="shared" si="342"/>
        <v>92</v>
      </c>
      <c r="CI202" s="571">
        <f t="shared" si="332"/>
        <v>-50</v>
      </c>
      <c r="CJ202">
        <f t="shared" si="333"/>
        <v>-50</v>
      </c>
    </row>
    <row r="203" spans="5:88" x14ac:dyDescent="0.25">
      <c r="E203" s="174">
        <v>93</v>
      </c>
      <c r="F203" s="221">
        <f t="shared" si="334"/>
        <v>0.18600000000000003</v>
      </c>
      <c r="G203" s="221">
        <f t="shared" si="299"/>
        <v>9.3000000000000013E-2</v>
      </c>
      <c r="H203" s="221">
        <f t="shared" si="300"/>
        <v>2.9760000000000004</v>
      </c>
      <c r="I203" s="221">
        <f t="shared" si="301"/>
        <v>1.4880000000000002</v>
      </c>
      <c r="J203" s="551">
        <f t="shared" si="302"/>
        <v>12</v>
      </c>
      <c r="K203" s="451">
        <f t="shared" si="303"/>
        <v>19.584</v>
      </c>
      <c r="L203" s="451">
        <f t="shared" si="304"/>
        <v>31.584</v>
      </c>
      <c r="M203" s="451"/>
      <c r="N203" s="221">
        <f t="shared" si="305"/>
        <v>0.62006079027355621</v>
      </c>
      <c r="O203" s="176">
        <f t="shared" si="306"/>
        <v>3.3483282674772035</v>
      </c>
      <c r="P203" s="176">
        <f t="shared" si="307"/>
        <v>1.6741641337386017</v>
      </c>
      <c r="Q203" s="221">
        <f t="shared" si="308"/>
        <v>0.20927051671732522</v>
      </c>
      <c r="R203" s="221">
        <f t="shared" si="309"/>
        <v>0.20927051671732522</v>
      </c>
      <c r="S203" s="221">
        <f t="shared" si="310"/>
        <v>16</v>
      </c>
      <c r="T203" s="221">
        <f t="shared" si="311"/>
        <v>1.3332026143790849</v>
      </c>
      <c r="U203" s="221">
        <f t="shared" si="312"/>
        <v>3.3330065359477121</v>
      </c>
      <c r="V203" s="221">
        <f t="shared" si="313"/>
        <v>2.042283416634628</v>
      </c>
      <c r="W203" s="201">
        <f t="shared" si="314"/>
        <v>350</v>
      </c>
      <c r="X203" s="451">
        <f t="shared" si="315"/>
        <v>186.03647595225826</v>
      </c>
      <c r="Z203" s="221">
        <f t="shared" si="316"/>
        <v>0.70864090316977857</v>
      </c>
      <c r="AA203" s="177">
        <f t="shared" si="317"/>
        <v>1.0855405992184108</v>
      </c>
      <c r="AB203" s="177">
        <f t="shared" si="318"/>
        <v>0.1076961858920636</v>
      </c>
      <c r="AC203" s="177"/>
      <c r="AD203" s="177">
        <f t="shared" si="319"/>
        <v>0.4595588235294118</v>
      </c>
      <c r="AE203" s="555">
        <f t="shared" si="320"/>
        <v>3372.8000000000006</v>
      </c>
      <c r="AF203" s="538">
        <f t="shared" si="321"/>
        <v>1.9301470588235291E-2</v>
      </c>
      <c r="AH203" s="177">
        <f t="shared" si="322"/>
        <v>0.92210938303745416</v>
      </c>
      <c r="AI203" s="177">
        <f t="shared" si="323"/>
        <v>1.3332026143790849</v>
      </c>
      <c r="AJ203" s="177">
        <f t="shared" si="324"/>
        <v>1.9653352699104332</v>
      </c>
      <c r="AL203" s="555">
        <f t="shared" si="325"/>
        <v>186.00000000000003</v>
      </c>
      <c r="AM203" s="469">
        <f t="shared" si="326"/>
        <v>186.03647595225826</v>
      </c>
      <c r="AO203">
        <f t="shared" si="327"/>
        <v>186.00000000000003</v>
      </c>
      <c r="AP203">
        <f t="shared" si="328"/>
        <v>186.03647595225826</v>
      </c>
      <c r="AR203" s="5">
        <f t="shared" si="343"/>
        <v>5.3752899525823405</v>
      </c>
      <c r="AS203" s="5">
        <f t="shared" si="335"/>
        <v>3.3330065359477121</v>
      </c>
      <c r="AT203" s="5">
        <f t="shared" si="336"/>
        <v>2.0422834166346284</v>
      </c>
      <c r="AU203" s="177">
        <f t="shared" si="337"/>
        <v>0.6200607902735561</v>
      </c>
      <c r="AW203" s="5">
        <f t="shared" si="275"/>
        <v>3.8746200980392156</v>
      </c>
      <c r="AX203" s="5"/>
      <c r="AY203" s="5">
        <f t="shared" si="276"/>
        <v>1.9373100490196078</v>
      </c>
      <c r="AZ203" s="5"/>
      <c r="BA203" s="5">
        <f t="shared" si="277"/>
        <v>0.35172658842040827</v>
      </c>
      <c r="BB203" s="5"/>
      <c r="BC203" s="5"/>
      <c r="BD203" s="177">
        <f t="shared" si="278"/>
        <v>0.60611169521248121</v>
      </c>
      <c r="BE203" s="177">
        <f t="shared" si="279"/>
        <v>0.3795618666528543</v>
      </c>
      <c r="BF203" s="177">
        <f t="shared" si="280"/>
        <v>0.18978093332642715</v>
      </c>
      <c r="BG203" s="177"/>
      <c r="BH203" s="538">
        <f t="shared" si="281"/>
        <v>0.1285799854756717</v>
      </c>
      <c r="BI203" s="538">
        <f t="shared" si="282"/>
        <v>3.9167999999999994E-2</v>
      </c>
      <c r="BJ203" s="538">
        <f t="shared" si="283"/>
        <v>2.3254559494032281E-3</v>
      </c>
      <c r="BK203" s="538">
        <f t="shared" si="284"/>
        <v>9.2790255483870959E-3</v>
      </c>
      <c r="BL203">
        <f t="shared" si="285"/>
        <v>3.48E-3</v>
      </c>
      <c r="BM203">
        <f t="shared" si="329"/>
        <v>3.2556383291645199E-6</v>
      </c>
      <c r="BN203">
        <f t="shared" si="330"/>
        <v>0.20505862798374808</v>
      </c>
      <c r="BO203" s="469">
        <f t="shared" si="286"/>
        <v>182.83246697346203</v>
      </c>
      <c r="BP203" s="177">
        <f t="shared" si="287"/>
        <v>7.4400000000000008E-2</v>
      </c>
      <c r="BQ203" s="177">
        <f t="shared" si="288"/>
        <v>3.7200000000000004E-2</v>
      </c>
      <c r="BR203" s="538"/>
      <c r="BT203" s="469">
        <f t="shared" si="289"/>
        <v>111.60000000000001</v>
      </c>
      <c r="BU203" s="538">
        <f t="shared" si="290"/>
        <v>3.673713870733477E-2</v>
      </c>
      <c r="BV203" s="538">
        <f t="shared" si="291"/>
        <v>4.3220163185099742E-3</v>
      </c>
      <c r="BW203" s="538">
        <f t="shared" si="292"/>
        <v>1.8008401327124894E-3</v>
      </c>
      <c r="BX203" s="538">
        <f t="shared" si="293"/>
        <v>0</v>
      </c>
      <c r="BY203" s="538">
        <f t="shared" si="274"/>
        <v>4.8168354211849347E-2</v>
      </c>
      <c r="BZ203" s="538">
        <f t="shared" si="344"/>
        <v>4.2859995158557235E-2</v>
      </c>
      <c r="CA203" s="641">
        <f t="shared" si="331"/>
        <v>1.6533333333333334E-2</v>
      </c>
      <c r="CB203" s="469">
        <f t="shared" si="338"/>
        <v>150.42167786229714</v>
      </c>
      <c r="CC203" s="177">
        <f t="shared" si="345"/>
        <v>0.38136031552893079</v>
      </c>
      <c r="CD203" s="5">
        <f t="shared" si="339"/>
        <v>4.4640000000000004</v>
      </c>
      <c r="CE203" s="177">
        <f t="shared" si="340"/>
        <v>0.92129371384276493</v>
      </c>
      <c r="CF203" s="5">
        <f t="shared" si="341"/>
        <v>92.129371384276496</v>
      </c>
      <c r="CG203">
        <f t="shared" si="342"/>
        <v>93</v>
      </c>
      <c r="CI203" s="571">
        <f t="shared" si="332"/>
        <v>-50</v>
      </c>
      <c r="CJ203">
        <f t="shared" si="333"/>
        <v>-50</v>
      </c>
    </row>
    <row r="204" spans="5:88" x14ac:dyDescent="0.25">
      <c r="E204" s="174">
        <v>94</v>
      </c>
      <c r="F204" s="221">
        <f t="shared" si="334"/>
        <v>0.188</v>
      </c>
      <c r="G204" s="221">
        <f t="shared" si="299"/>
        <v>9.4E-2</v>
      </c>
      <c r="H204" s="221">
        <f t="shared" si="300"/>
        <v>3.008</v>
      </c>
      <c r="I204" s="221">
        <f t="shared" si="301"/>
        <v>1.504</v>
      </c>
      <c r="J204" s="551">
        <f t="shared" si="302"/>
        <v>12</v>
      </c>
      <c r="K204" s="451">
        <f t="shared" si="303"/>
        <v>19.584</v>
      </c>
      <c r="L204" s="451">
        <f t="shared" si="304"/>
        <v>31.584</v>
      </c>
      <c r="M204" s="451"/>
      <c r="N204" s="221">
        <f t="shared" si="305"/>
        <v>0.62006079027355621</v>
      </c>
      <c r="O204" s="176">
        <f t="shared" si="306"/>
        <v>3.3483282674772035</v>
      </c>
      <c r="P204" s="176">
        <f t="shared" si="307"/>
        <v>1.6741641337386017</v>
      </c>
      <c r="Q204" s="221">
        <f t="shared" si="308"/>
        <v>0.20927051671732522</v>
      </c>
      <c r="R204" s="221">
        <f t="shared" si="309"/>
        <v>0.20927051671732522</v>
      </c>
      <c r="S204" s="221">
        <f t="shared" si="310"/>
        <v>16</v>
      </c>
      <c r="T204" s="221">
        <f t="shared" si="311"/>
        <v>1.3475381263616557</v>
      </c>
      <c r="U204" s="221">
        <f t="shared" si="312"/>
        <v>3.3688453159041396</v>
      </c>
      <c r="V204" s="221">
        <f t="shared" si="313"/>
        <v>2.0642434533726344</v>
      </c>
      <c r="W204" s="201">
        <f t="shared" si="314"/>
        <v>350</v>
      </c>
      <c r="X204" s="451">
        <f t="shared" si="315"/>
        <v>184.05736450595768</v>
      </c>
      <c r="Z204" s="221">
        <f t="shared" si="316"/>
        <v>0.70864090316977857</v>
      </c>
      <c r="AA204" s="177">
        <f t="shared" si="317"/>
        <v>1.0855405992184108</v>
      </c>
      <c r="AB204" s="177">
        <f t="shared" si="318"/>
        <v>0.1076961858920636</v>
      </c>
      <c r="AC204" s="177"/>
      <c r="AD204" s="177">
        <f t="shared" si="319"/>
        <v>0.4595588235294118</v>
      </c>
      <c r="AE204" s="555">
        <f t="shared" si="320"/>
        <v>3409.066666666668</v>
      </c>
      <c r="AF204" s="538">
        <f t="shared" si="321"/>
        <v>1.9301470588235291E-2</v>
      </c>
      <c r="AH204" s="177">
        <f t="shared" si="322"/>
        <v>0.9270537047164914</v>
      </c>
      <c r="AI204" s="177">
        <f t="shared" si="323"/>
        <v>1.3475381263616557</v>
      </c>
      <c r="AJ204" s="177">
        <f t="shared" si="324"/>
        <v>1.9759541676753005</v>
      </c>
      <c r="AL204" s="555">
        <f t="shared" si="325"/>
        <v>188</v>
      </c>
      <c r="AM204" s="469">
        <f t="shared" si="326"/>
        <v>184.05736450595768</v>
      </c>
      <c r="AO204">
        <f t="shared" si="327"/>
        <v>188</v>
      </c>
      <c r="AP204">
        <f t="shared" si="328"/>
        <v>184.05736450595768</v>
      </c>
      <c r="AR204" s="5">
        <f t="shared" si="343"/>
        <v>5.4330887692767735</v>
      </c>
      <c r="AS204" s="5">
        <f t="shared" si="335"/>
        <v>3.3688453159041396</v>
      </c>
      <c r="AT204" s="5">
        <f t="shared" si="336"/>
        <v>2.0642434533726339</v>
      </c>
      <c r="AU204" s="177">
        <f t="shared" si="337"/>
        <v>0.62006079027355632</v>
      </c>
      <c r="AW204" s="5">
        <f t="shared" si="275"/>
        <v>3.9583932461873639</v>
      </c>
      <c r="AX204" s="5"/>
      <c r="AY204" s="5">
        <f t="shared" si="276"/>
        <v>1.9791966230936819</v>
      </c>
      <c r="AZ204" s="5"/>
      <c r="BA204" s="5">
        <f t="shared" si="277"/>
        <v>0.3593312678093103</v>
      </c>
      <c r="BB204" s="5"/>
      <c r="BC204" s="5"/>
      <c r="BD204" s="177">
        <f t="shared" si="278"/>
        <v>0.61262902526852947</v>
      </c>
      <c r="BE204" s="177">
        <f t="shared" si="279"/>
        <v>0.38364317704697104</v>
      </c>
      <c r="BF204" s="177">
        <f t="shared" si="280"/>
        <v>0.19182158852348552</v>
      </c>
      <c r="BG204" s="177"/>
      <c r="BH204" s="538">
        <f t="shared" si="281"/>
        <v>0.13136001291051397</v>
      </c>
      <c r="BI204" s="538">
        <f t="shared" si="282"/>
        <v>3.9168000000000001E-2</v>
      </c>
      <c r="BJ204" s="538">
        <f t="shared" si="283"/>
        <v>2.3007170563244706E-3</v>
      </c>
      <c r="BK204" s="538">
        <f t="shared" si="284"/>
        <v>9.1803125106383002E-3</v>
      </c>
      <c r="BL204">
        <f t="shared" si="285"/>
        <v>3.48E-3</v>
      </c>
      <c r="BM204">
        <f t="shared" si="329"/>
        <v>3.2210038788542595E-6</v>
      </c>
      <c r="BN204">
        <f t="shared" si="330"/>
        <v>0.20827356723397777</v>
      </c>
      <c r="BO204" s="469">
        <f t="shared" si="286"/>
        <v>185.48904247747677</v>
      </c>
      <c r="BP204" s="177">
        <f t="shared" si="287"/>
        <v>7.5200000000000003E-2</v>
      </c>
      <c r="BQ204" s="177">
        <f t="shared" si="288"/>
        <v>3.7600000000000001E-2</v>
      </c>
      <c r="BR204" s="538"/>
      <c r="BT204" s="469">
        <f t="shared" si="289"/>
        <v>112.80000000000001</v>
      </c>
      <c r="BU204" s="538">
        <f t="shared" si="290"/>
        <v>3.7531432260146852E-2</v>
      </c>
      <c r="BV204" s="538">
        <f t="shared" si="291"/>
        <v>4.4154626188408069E-3</v>
      </c>
      <c r="BW204" s="538">
        <f t="shared" si="292"/>
        <v>1.8397760911836696E-3</v>
      </c>
      <c r="BX204" s="538">
        <f t="shared" si="293"/>
        <v>0</v>
      </c>
      <c r="BY204" s="538">
        <f t="shared" si="274"/>
        <v>4.9213462983468681E-2</v>
      </c>
      <c r="BZ204" s="538">
        <f t="shared" si="344"/>
        <v>4.3786670970171332E-2</v>
      </c>
      <c r="CA204" s="641">
        <f t="shared" si="331"/>
        <v>1.6711111111111114E-2</v>
      </c>
      <c r="CB204" s="469">
        <f t="shared" si="338"/>
        <v>153.49791603492247</v>
      </c>
      <c r="CC204" s="177">
        <f t="shared" si="345"/>
        <v>0.38699814132855759</v>
      </c>
      <c r="CD204" s="5">
        <f t="shared" si="339"/>
        <v>4.5120000000000005</v>
      </c>
      <c r="CE204" s="177">
        <f t="shared" si="340"/>
        <v>0.92100463601653704</v>
      </c>
      <c r="CF204" s="5">
        <f t="shared" si="341"/>
        <v>92.100463601653701</v>
      </c>
      <c r="CG204">
        <f t="shared" si="342"/>
        <v>94</v>
      </c>
      <c r="CI204" s="571">
        <f t="shared" si="332"/>
        <v>-50</v>
      </c>
      <c r="CJ204">
        <f t="shared" si="333"/>
        <v>-50</v>
      </c>
    </row>
    <row r="205" spans="5:88" x14ac:dyDescent="0.25">
      <c r="E205" s="174">
        <v>95</v>
      </c>
      <c r="F205" s="221">
        <f t="shared" si="334"/>
        <v>0.19</v>
      </c>
      <c r="G205" s="221">
        <f t="shared" si="299"/>
        <v>9.5000000000000001E-2</v>
      </c>
      <c r="H205" s="221">
        <f t="shared" si="300"/>
        <v>3.04</v>
      </c>
      <c r="I205" s="221">
        <f t="shared" si="301"/>
        <v>1.52</v>
      </c>
      <c r="J205" s="551">
        <f t="shared" si="302"/>
        <v>12</v>
      </c>
      <c r="K205" s="451">
        <f t="shared" si="303"/>
        <v>19.584</v>
      </c>
      <c r="L205" s="451">
        <f t="shared" si="304"/>
        <v>31.584</v>
      </c>
      <c r="M205" s="451"/>
      <c r="N205" s="221">
        <f t="shared" si="305"/>
        <v>0.62006079027355621</v>
      </c>
      <c r="O205" s="176">
        <f t="shared" si="306"/>
        <v>3.3483282674772035</v>
      </c>
      <c r="P205" s="176">
        <f t="shared" si="307"/>
        <v>1.6741641337386017</v>
      </c>
      <c r="Q205" s="221">
        <f t="shared" si="308"/>
        <v>0.20927051671732522</v>
      </c>
      <c r="R205" s="221">
        <f t="shared" si="309"/>
        <v>0.20927051671732522</v>
      </c>
      <c r="S205" s="221">
        <f t="shared" si="310"/>
        <v>16</v>
      </c>
      <c r="T205" s="221">
        <f t="shared" si="311"/>
        <v>1.3618736383442267</v>
      </c>
      <c r="U205" s="221">
        <f t="shared" si="312"/>
        <v>3.4046840958605666</v>
      </c>
      <c r="V205" s="221">
        <f t="shared" si="313"/>
        <v>2.0862034901106412</v>
      </c>
      <c r="W205" s="201">
        <f t="shared" si="314"/>
        <v>350</v>
      </c>
      <c r="X205" s="451">
        <f t="shared" si="315"/>
        <v>182.11991856378964</v>
      </c>
      <c r="Z205" s="221">
        <f t="shared" si="316"/>
        <v>0.70864090316977857</v>
      </c>
      <c r="AA205" s="177">
        <f t="shared" si="317"/>
        <v>1.0855405992184108</v>
      </c>
      <c r="AB205" s="177">
        <f t="shared" si="318"/>
        <v>0.1076961858920636</v>
      </c>
      <c r="AC205" s="177"/>
      <c r="AD205" s="177">
        <f t="shared" si="319"/>
        <v>0.4595588235294118</v>
      </c>
      <c r="AE205" s="555">
        <f t="shared" si="320"/>
        <v>3445.3333333333339</v>
      </c>
      <c r="AF205" s="538">
        <f t="shared" si="321"/>
        <v>1.9301470588235291E-2</v>
      </c>
      <c r="AH205" s="177">
        <f t="shared" si="322"/>
        <v>0.93197179601714808</v>
      </c>
      <c r="AI205" s="177">
        <f t="shared" si="323"/>
        <v>1.3618736383442267</v>
      </c>
      <c r="AJ205" s="177">
        <f t="shared" si="324"/>
        <v>1.9865730654401679</v>
      </c>
      <c r="AL205" s="555">
        <f t="shared" si="325"/>
        <v>190</v>
      </c>
      <c r="AM205" s="469">
        <f t="shared" si="326"/>
        <v>182.11991856378964</v>
      </c>
      <c r="AO205">
        <f t="shared" si="327"/>
        <v>190</v>
      </c>
      <c r="AP205">
        <f t="shared" si="328"/>
        <v>182.11991856378964</v>
      </c>
      <c r="AR205" s="5">
        <f t="shared" si="343"/>
        <v>5.4908875859712092</v>
      </c>
      <c r="AS205" s="5">
        <f t="shared" si="335"/>
        <v>3.4046840958605666</v>
      </c>
      <c r="AT205" s="5">
        <f t="shared" si="336"/>
        <v>2.0862034901106425</v>
      </c>
      <c r="AU205" s="177">
        <f t="shared" si="337"/>
        <v>0.6200607902735561</v>
      </c>
      <c r="AW205" s="5">
        <f t="shared" si="275"/>
        <v>4.043062363834423</v>
      </c>
      <c r="AX205" s="5"/>
      <c r="AY205" s="5">
        <f t="shared" si="276"/>
        <v>2.0215311819172115</v>
      </c>
      <c r="AZ205" s="5"/>
      <c r="BA205" s="5">
        <f t="shared" si="277"/>
        <v>0.36701728066761308</v>
      </c>
      <c r="BB205" s="5"/>
      <c r="BC205" s="5"/>
      <c r="BD205" s="177">
        <f t="shared" si="278"/>
        <v>0.61914635532457774</v>
      </c>
      <c r="BE205" s="177">
        <f t="shared" si="279"/>
        <v>0.38772448744108778</v>
      </c>
      <c r="BF205" s="177">
        <f t="shared" si="280"/>
        <v>0.19386224372054389</v>
      </c>
      <c r="BG205" s="177"/>
      <c r="BH205" s="538">
        <f t="shared" si="281"/>
        <v>0.13416977325909787</v>
      </c>
      <c r="BI205" s="538">
        <f t="shared" si="282"/>
        <v>3.9167999999999994E-2</v>
      </c>
      <c r="BJ205" s="538">
        <f t="shared" si="283"/>
        <v>2.2764989820473706E-3</v>
      </c>
      <c r="BK205" s="538">
        <f t="shared" si="284"/>
        <v>9.0836776421052614E-3</v>
      </c>
      <c r="BL205">
        <f t="shared" si="285"/>
        <v>3.48E-3</v>
      </c>
      <c r="BM205">
        <f t="shared" si="329"/>
        <v>3.1870985748663191E-6</v>
      </c>
      <c r="BN205">
        <f t="shared" si="330"/>
        <v>0.21153034693942235</v>
      </c>
      <c r="BO205" s="469">
        <f t="shared" si="286"/>
        <v>188.17794988325053</v>
      </c>
      <c r="BP205" s="177">
        <f t="shared" si="287"/>
        <v>7.6000000000000012E-2</v>
      </c>
      <c r="BQ205" s="177">
        <f t="shared" si="288"/>
        <v>3.8000000000000006E-2</v>
      </c>
      <c r="BR205" s="538"/>
      <c r="BT205" s="469">
        <f t="shared" si="289"/>
        <v>114.00000000000001</v>
      </c>
      <c r="BU205" s="538">
        <f t="shared" si="290"/>
        <v>3.833422093117083E-2</v>
      </c>
      <c r="BV205" s="538">
        <f t="shared" si="291"/>
        <v>4.5099083448436276E-3</v>
      </c>
      <c r="BW205" s="538">
        <f t="shared" si="292"/>
        <v>1.8791284770181783E-3</v>
      </c>
      <c r="BX205" s="538">
        <f t="shared" si="293"/>
        <v>0</v>
      </c>
      <c r="BY205" s="538">
        <f t="shared" si="274"/>
        <v>5.0269907405485884E-2</v>
      </c>
      <c r="BZ205" s="538">
        <f t="shared" si="344"/>
        <v>4.4723257753032632E-2</v>
      </c>
      <c r="CA205" s="641">
        <f t="shared" si="331"/>
        <v>1.6888888888888887E-2</v>
      </c>
      <c r="CB205" s="469">
        <f t="shared" si="338"/>
        <v>156.60531180044003</v>
      </c>
      <c r="CC205" s="177">
        <f t="shared" si="345"/>
        <v>0.39268914323379717</v>
      </c>
      <c r="CD205" s="5">
        <f t="shared" si="339"/>
        <v>4.5600000000000005</v>
      </c>
      <c r="CE205" s="177">
        <f t="shared" si="340"/>
        <v>0.92071193408730767</v>
      </c>
      <c r="CF205" s="5">
        <f t="shared" si="341"/>
        <v>92.071193408730764</v>
      </c>
      <c r="CG205">
        <f t="shared" si="342"/>
        <v>95</v>
      </c>
      <c r="CI205" s="571">
        <f t="shared" si="332"/>
        <v>-50</v>
      </c>
      <c r="CJ205">
        <f t="shared" si="333"/>
        <v>-50</v>
      </c>
    </row>
    <row r="206" spans="5:88" x14ac:dyDescent="0.25">
      <c r="E206" s="174">
        <v>96</v>
      </c>
      <c r="F206" s="221">
        <f t="shared" si="334"/>
        <v>0.192</v>
      </c>
      <c r="G206" s="221">
        <f t="shared" si="299"/>
        <v>9.6000000000000002E-2</v>
      </c>
      <c r="H206" s="221">
        <f t="shared" si="300"/>
        <v>3.0720000000000001</v>
      </c>
      <c r="I206" s="221">
        <f t="shared" si="301"/>
        <v>1.536</v>
      </c>
      <c r="J206" s="551">
        <f t="shared" si="302"/>
        <v>12</v>
      </c>
      <c r="K206" s="451">
        <f t="shared" si="303"/>
        <v>19.584</v>
      </c>
      <c r="L206" s="451">
        <f t="shared" si="304"/>
        <v>31.584</v>
      </c>
      <c r="M206" s="451"/>
      <c r="N206" s="221">
        <f t="shared" si="305"/>
        <v>0.62006079027355621</v>
      </c>
      <c r="O206" s="176">
        <f t="shared" ref="O206:O210" si="346">N206*J206*Isw_max*0.5*Efficiency*Pout/(Pout+Pout2)</f>
        <v>3.3483282674772035</v>
      </c>
      <c r="P206" s="176">
        <f t="shared" si="307"/>
        <v>1.6741641337386017</v>
      </c>
      <c r="Q206" s="221">
        <f t="shared" si="308"/>
        <v>0.20927051671732522</v>
      </c>
      <c r="R206" s="221">
        <f t="shared" si="309"/>
        <v>0.20927051671732522</v>
      </c>
      <c r="S206" s="221">
        <f t="shared" si="310"/>
        <v>16</v>
      </c>
      <c r="T206" s="221">
        <f t="shared" si="311"/>
        <v>1.3762091503267975</v>
      </c>
      <c r="U206" s="221">
        <f t="shared" si="312"/>
        <v>3.4405228758169937</v>
      </c>
      <c r="V206" s="221">
        <f t="shared" si="313"/>
        <v>2.1081635268486481</v>
      </c>
      <c r="W206" s="201">
        <f t="shared" si="314"/>
        <v>350</v>
      </c>
      <c r="X206" s="451">
        <f t="shared" si="315"/>
        <v>180.22283607875019</v>
      </c>
      <c r="Z206" s="221">
        <f t="shared" si="316"/>
        <v>0.70864090316977857</v>
      </c>
      <c r="AA206" s="177">
        <f t="shared" si="317"/>
        <v>1.0855405992184108</v>
      </c>
      <c r="AB206" s="177">
        <f t="shared" ref="AB206:AB210" si="347">0.5*AA206*Z206*Nps*W206/1000*(Pout/(Pout+Pout2))</f>
        <v>0.1076961858920636</v>
      </c>
      <c r="AC206" s="177"/>
      <c r="AD206" s="177">
        <f t="shared" si="319"/>
        <v>0.4595588235294118</v>
      </c>
      <c r="AE206" s="555">
        <f t="shared" ref="AE206:AE210" si="348">MAX(10, F206/(0.5*AD206/1000000*Isw_min*Nps)/1000*Pout_total/Pout)</f>
        <v>3481.6000000000013</v>
      </c>
      <c r="AF206" s="538">
        <f t="shared" si="321"/>
        <v>1.9301470588235291E-2</v>
      </c>
      <c r="AH206" s="177">
        <f t="shared" si="322"/>
        <v>0.93686407003059191</v>
      </c>
      <c r="AI206" s="177">
        <f t="shared" ref="AI206:AI210" si="349">MAX(IF(F206&gt;AB206,T206,AH206),Isw_min)</f>
        <v>1.3762091503267975</v>
      </c>
      <c r="AJ206" s="177">
        <f t="shared" ref="AJ206:AJ210" si="350">IF(F206&gt;AF206, (AI206-Isw_min)/1.08*0.8+1.2, AE206*0.2/350+1)</f>
        <v>1.997191963205035</v>
      </c>
      <c r="AL206" s="555">
        <f t="shared" si="325"/>
        <v>192</v>
      </c>
      <c r="AM206" s="469">
        <f t="shared" si="326"/>
        <v>180.22283607875019</v>
      </c>
      <c r="AO206">
        <f t="shared" si="327"/>
        <v>192</v>
      </c>
      <c r="AP206">
        <f t="shared" si="328"/>
        <v>180.22283607875019</v>
      </c>
      <c r="AR206" s="5">
        <f t="shared" si="343"/>
        <v>5.5486864026656422</v>
      </c>
      <c r="AS206" s="5">
        <f t="shared" si="335"/>
        <v>3.4405228758169937</v>
      </c>
      <c r="AT206" s="5">
        <f t="shared" si="336"/>
        <v>2.1081635268486485</v>
      </c>
      <c r="AU206" s="177">
        <f t="shared" si="337"/>
        <v>0.62006079027355621</v>
      </c>
      <c r="AW206" s="5">
        <f t="shared" si="275"/>
        <v>4.1286274509803933</v>
      </c>
      <c r="AX206" s="5"/>
      <c r="AY206" s="5">
        <f t="shared" si="276"/>
        <v>2.0643137254901966</v>
      </c>
      <c r="AZ206" s="5"/>
      <c r="BA206" s="5">
        <f t="shared" si="277"/>
        <v>0.37478462699531523</v>
      </c>
      <c r="BB206" s="5"/>
      <c r="BC206" s="5"/>
      <c r="BD206" s="177">
        <f t="shared" si="278"/>
        <v>0.62566368538062589</v>
      </c>
      <c r="BE206" s="177">
        <f t="shared" si="279"/>
        <v>0.39180579783520442</v>
      </c>
      <c r="BF206" s="177">
        <f t="shared" si="280"/>
        <v>0.19590289891760221</v>
      </c>
      <c r="BG206" s="177"/>
      <c r="BH206" s="538">
        <f t="shared" si="281"/>
        <v>0.13700926652142337</v>
      </c>
      <c r="BI206" s="538">
        <f t="shared" si="282"/>
        <v>3.9168000000000001E-2</v>
      </c>
      <c r="BJ206" s="538">
        <f t="shared" si="283"/>
        <v>2.2527854509843777E-3</v>
      </c>
      <c r="BK206" s="538">
        <f t="shared" si="284"/>
        <v>8.9890560000000005E-3</v>
      </c>
      <c r="BL206">
        <f t="shared" si="285"/>
        <v>3.48E-3</v>
      </c>
      <c r="BM206">
        <f t="shared" si="329"/>
        <v>3.1538996313781287E-6</v>
      </c>
      <c r="BN206">
        <f t="shared" ref="BN206:BN210" si="351">(BI206+BJ206+BK206+BL206+BM206+BH206*(1+RdsonTC*(Ta-25)))/(1-BH206*RdsonTC*ThetaJA)</f>
        <v>0.21482900549727704</v>
      </c>
      <c r="BO206" s="469">
        <f t="shared" si="286"/>
        <v>190.89910797240776</v>
      </c>
      <c r="BP206" s="177">
        <f t="shared" si="287"/>
        <v>7.6800000000000007E-2</v>
      </c>
      <c r="BQ206" s="177">
        <f t="shared" si="288"/>
        <v>3.8400000000000004E-2</v>
      </c>
      <c r="BR206" s="538"/>
      <c r="BT206" s="469">
        <f t="shared" si="289"/>
        <v>115.20000000000002</v>
      </c>
      <c r="BU206" s="538">
        <f t="shared" si="290"/>
        <v>3.9145504720406683E-2</v>
      </c>
      <c r="BV206" s="538">
        <f t="shared" si="291"/>
        <v>4.6053534965184318E-3</v>
      </c>
      <c r="BW206" s="538">
        <f t="shared" si="292"/>
        <v>1.9188972902160135E-3</v>
      </c>
      <c r="BX206" s="538">
        <f t="shared" si="293"/>
        <v>0</v>
      </c>
      <c r="BY206" s="538">
        <f t="shared" si="274"/>
        <v>5.1337692557389805E-2</v>
      </c>
      <c r="BZ206" s="538">
        <f t="shared" si="344"/>
        <v>4.5669755507141127E-2</v>
      </c>
      <c r="CA206" s="641">
        <f t="shared" si="331"/>
        <v>1.7066666666666671E-2</v>
      </c>
      <c r="CB206" s="469">
        <f t="shared" si="338"/>
        <v>159.74387023833876</v>
      </c>
      <c r="CC206" s="177">
        <f t="shared" si="345"/>
        <v>0.39843336472133351</v>
      </c>
      <c r="CD206" s="5">
        <f t="shared" si="339"/>
        <v>4.6080000000000005</v>
      </c>
      <c r="CE206" s="177">
        <f t="shared" si="340"/>
        <v>0.92041572598789378</v>
      </c>
      <c r="CF206" s="5">
        <f t="shared" si="341"/>
        <v>92.041572598789372</v>
      </c>
      <c r="CG206">
        <f t="shared" si="342"/>
        <v>96</v>
      </c>
      <c r="CI206" s="571">
        <f t="shared" si="332"/>
        <v>-50</v>
      </c>
      <c r="CJ206">
        <f t="shared" si="333"/>
        <v>-50</v>
      </c>
    </row>
    <row r="207" spans="5:88" x14ac:dyDescent="0.25">
      <c r="E207" s="174">
        <v>97</v>
      </c>
      <c r="F207" s="221">
        <f t="shared" ref="F207:F210" si="352">IF(PLOT_TYPE=1, E207/100*Iout_max, min_I*EXP(O207*rr/100))</f>
        <v>0.19400000000000001</v>
      </c>
      <c r="G207" s="221">
        <f t="shared" si="299"/>
        <v>9.7000000000000003E-2</v>
      </c>
      <c r="H207" s="221">
        <f t="shared" si="300"/>
        <v>3.1040000000000001</v>
      </c>
      <c r="I207" s="221">
        <f t="shared" si="301"/>
        <v>1.552</v>
      </c>
      <c r="J207" s="551">
        <f t="shared" si="302"/>
        <v>12</v>
      </c>
      <c r="K207" s="451">
        <f t="shared" si="303"/>
        <v>19.584</v>
      </c>
      <c r="L207" s="451">
        <f t="shared" si="304"/>
        <v>31.584</v>
      </c>
      <c r="M207" s="451"/>
      <c r="N207" s="221">
        <f t="shared" si="305"/>
        <v>0.62006079027355621</v>
      </c>
      <c r="O207" s="176">
        <f t="shared" si="346"/>
        <v>3.3483282674772035</v>
      </c>
      <c r="P207" s="176">
        <f t="shared" si="307"/>
        <v>1.6741641337386017</v>
      </c>
      <c r="Q207" s="221">
        <f t="shared" si="308"/>
        <v>0.20927051671732522</v>
      </c>
      <c r="R207" s="221">
        <f t="shared" si="309"/>
        <v>0.20927051671732522</v>
      </c>
      <c r="S207" s="221">
        <f t="shared" si="310"/>
        <v>16</v>
      </c>
      <c r="T207" s="221">
        <f t="shared" si="311"/>
        <v>1.3905446623093682</v>
      </c>
      <c r="U207" s="221">
        <f t="shared" si="312"/>
        <v>3.4763616557734207</v>
      </c>
      <c r="V207" s="221">
        <f t="shared" si="313"/>
        <v>2.1301235635866549</v>
      </c>
      <c r="W207" s="201">
        <f t="shared" si="314"/>
        <v>350</v>
      </c>
      <c r="X207" s="451">
        <f t="shared" si="315"/>
        <v>178.36486869649502</v>
      </c>
      <c r="Z207" s="221">
        <f t="shared" si="316"/>
        <v>0.70864090316977857</v>
      </c>
      <c r="AA207" s="177">
        <f t="shared" si="317"/>
        <v>1.0855405992184108</v>
      </c>
      <c r="AB207" s="177">
        <f t="shared" si="347"/>
        <v>0.1076961858920636</v>
      </c>
      <c r="AC207" s="177"/>
      <c r="AD207" s="177">
        <f t="shared" si="319"/>
        <v>0.4595588235294118</v>
      </c>
      <c r="AE207" s="555">
        <f t="shared" si="348"/>
        <v>3517.8666666666672</v>
      </c>
      <c r="AF207" s="538">
        <f t="shared" si="321"/>
        <v>1.9301470588235291E-2</v>
      </c>
      <c r="AH207" s="177">
        <f t="shared" si="322"/>
        <v>0.94173092911783618</v>
      </c>
      <c r="AI207" s="177">
        <f t="shared" si="349"/>
        <v>1.3905446623093682</v>
      </c>
      <c r="AJ207" s="177">
        <f t="shared" si="350"/>
        <v>2.0078108609699026</v>
      </c>
      <c r="AL207" s="555">
        <f t="shared" si="325"/>
        <v>194</v>
      </c>
      <c r="AM207" s="469">
        <f t="shared" si="326"/>
        <v>178.36486869649502</v>
      </c>
      <c r="AO207">
        <f t="shared" si="327"/>
        <v>194</v>
      </c>
      <c r="AP207">
        <f t="shared" si="328"/>
        <v>178.36486869649502</v>
      </c>
      <c r="AR207" s="5">
        <f t="shared" si="343"/>
        <v>5.606485219360076</v>
      </c>
      <c r="AS207" s="5">
        <f t="shared" si="335"/>
        <v>3.4763616557734207</v>
      </c>
      <c r="AT207" s="5">
        <f t="shared" si="336"/>
        <v>2.1301235635866553</v>
      </c>
      <c r="AU207" s="177">
        <f t="shared" si="337"/>
        <v>0.62006079027355621</v>
      </c>
      <c r="AW207" s="5">
        <f t="shared" si="275"/>
        <v>4.2150885076252722</v>
      </c>
      <c r="AX207" s="5"/>
      <c r="AY207" s="5">
        <f t="shared" si="276"/>
        <v>2.1075442538126361</v>
      </c>
      <c r="AZ207" s="5"/>
      <c r="BA207" s="5">
        <f t="shared" si="277"/>
        <v>0.38263330679241769</v>
      </c>
      <c r="BB207" s="5"/>
      <c r="BC207" s="5"/>
      <c r="BD207" s="177">
        <f t="shared" si="278"/>
        <v>0.63218101543667415</v>
      </c>
      <c r="BE207" s="177">
        <f t="shared" si="279"/>
        <v>0.39588710822932116</v>
      </c>
      <c r="BF207" s="177">
        <f t="shared" si="280"/>
        <v>0.19794355411466058</v>
      </c>
      <c r="BG207" s="177"/>
      <c r="BH207" s="538">
        <f t="shared" si="281"/>
        <v>0.13987849269749053</v>
      </c>
      <c r="BI207" s="538">
        <f t="shared" si="282"/>
        <v>3.9167999999999994E-2</v>
      </c>
      <c r="BJ207" s="538">
        <f t="shared" si="283"/>
        <v>2.229560858706188E-3</v>
      </c>
      <c r="BK207" s="538">
        <f t="shared" si="284"/>
        <v>8.8963853195876286E-3</v>
      </c>
      <c r="BL207">
        <f t="shared" si="285"/>
        <v>3.48E-3</v>
      </c>
      <c r="BM207">
        <f t="shared" si="329"/>
        <v>3.1213852021886632E-6</v>
      </c>
      <c r="BN207">
        <f t="shared" si="351"/>
        <v>0.21816958624073071</v>
      </c>
      <c r="BO207" s="469">
        <f t="shared" si="286"/>
        <v>193.65243887578436</v>
      </c>
      <c r="BP207" s="177">
        <f t="shared" si="287"/>
        <v>7.7600000000000002E-2</v>
      </c>
      <c r="BQ207" s="177">
        <f t="shared" si="288"/>
        <v>3.8800000000000001E-2</v>
      </c>
      <c r="BR207" s="538"/>
      <c r="BT207" s="469">
        <f t="shared" si="289"/>
        <v>116.4</v>
      </c>
      <c r="BU207" s="538">
        <f t="shared" si="290"/>
        <v>3.9965283627854446E-2</v>
      </c>
      <c r="BV207" s="538">
        <f t="shared" si="291"/>
        <v>4.7017980738652265E-3</v>
      </c>
      <c r="BW207" s="538">
        <f t="shared" si="292"/>
        <v>1.9590825307771779E-3</v>
      </c>
      <c r="BX207" s="538">
        <f t="shared" si="293"/>
        <v>0</v>
      </c>
      <c r="BY207" s="538">
        <f t="shared" si="274"/>
        <v>5.2416823574358389E-2</v>
      </c>
      <c r="BZ207" s="538">
        <f t="shared" si="344"/>
        <v>4.6626164232496853E-2</v>
      </c>
      <c r="CA207" s="641">
        <f t="shared" si="331"/>
        <v>1.7244444444444448E-2</v>
      </c>
      <c r="CB207" s="469">
        <f t="shared" si="338"/>
        <v>162.91359648379654</v>
      </c>
      <c r="CC207" s="177">
        <f t="shared" si="345"/>
        <v>0.40423085425953353</v>
      </c>
      <c r="CD207" s="5">
        <f t="shared" si="339"/>
        <v>4.6560000000000006</v>
      </c>
      <c r="CE207" s="177">
        <f t="shared" si="340"/>
        <v>0.92011612396709819</v>
      </c>
      <c r="CF207" s="5">
        <f t="shared" si="341"/>
        <v>92.011612396709822</v>
      </c>
      <c r="CG207">
        <f t="shared" si="342"/>
        <v>97</v>
      </c>
      <c r="CI207" s="571">
        <f t="shared" si="332"/>
        <v>-50</v>
      </c>
      <c r="CJ207">
        <f t="shared" si="333"/>
        <v>-50</v>
      </c>
    </row>
    <row r="208" spans="5:88" x14ac:dyDescent="0.25">
      <c r="E208" s="174">
        <v>98</v>
      </c>
      <c r="F208" s="221">
        <f t="shared" si="352"/>
        <v>0.19600000000000001</v>
      </c>
      <c r="G208" s="221">
        <f t="shared" si="299"/>
        <v>9.8000000000000004E-2</v>
      </c>
      <c r="H208" s="221">
        <f t="shared" si="300"/>
        <v>3.1360000000000001</v>
      </c>
      <c r="I208" s="221">
        <f t="shared" si="301"/>
        <v>1.5680000000000001</v>
      </c>
      <c r="J208" s="551">
        <f t="shared" si="302"/>
        <v>12</v>
      </c>
      <c r="K208" s="451">
        <f t="shared" si="303"/>
        <v>19.584</v>
      </c>
      <c r="L208" s="451">
        <f t="shared" si="304"/>
        <v>31.584</v>
      </c>
      <c r="M208" s="451"/>
      <c r="N208" s="221">
        <f t="shared" si="305"/>
        <v>0.62006079027355621</v>
      </c>
      <c r="O208" s="176">
        <f t="shared" si="346"/>
        <v>3.3483282674772035</v>
      </c>
      <c r="P208" s="176">
        <f t="shared" si="307"/>
        <v>1.6741641337386017</v>
      </c>
      <c r="Q208" s="221">
        <f t="shared" si="308"/>
        <v>0.20927051671732522</v>
      </c>
      <c r="R208" s="221">
        <f t="shared" si="309"/>
        <v>0.20927051671732522</v>
      </c>
      <c r="S208" s="221">
        <f t="shared" si="310"/>
        <v>16</v>
      </c>
      <c r="T208" s="221">
        <f t="shared" si="311"/>
        <v>1.404880174291939</v>
      </c>
      <c r="U208" s="221">
        <f t="shared" si="312"/>
        <v>3.5122004357298473</v>
      </c>
      <c r="V208" s="221">
        <f t="shared" si="313"/>
        <v>2.1520836003246613</v>
      </c>
      <c r="W208" s="201">
        <f t="shared" si="314"/>
        <v>350</v>
      </c>
      <c r="X208" s="451">
        <f t="shared" si="315"/>
        <v>176.54481901591856</v>
      </c>
      <c r="Z208" s="221">
        <f t="shared" si="316"/>
        <v>0.70864090316977857</v>
      </c>
      <c r="AA208" s="177">
        <f t="shared" si="317"/>
        <v>1.0855405992184108</v>
      </c>
      <c r="AB208" s="177">
        <f t="shared" si="347"/>
        <v>0.1076961858920636</v>
      </c>
      <c r="AC208" s="177"/>
      <c r="AD208" s="177">
        <f t="shared" si="319"/>
        <v>0.4595588235294118</v>
      </c>
      <c r="AE208" s="555">
        <f t="shared" si="348"/>
        <v>3554.1333333333341</v>
      </c>
      <c r="AF208" s="538">
        <f t="shared" si="321"/>
        <v>1.9301470588235291E-2</v>
      </c>
      <c r="AH208" s="177">
        <f t="shared" si="322"/>
        <v>0.94657276529593859</v>
      </c>
      <c r="AI208" s="177">
        <f t="shared" si="349"/>
        <v>1.404880174291939</v>
      </c>
      <c r="AJ208" s="177">
        <f t="shared" si="350"/>
        <v>2.0184297587347695</v>
      </c>
      <c r="AL208" s="555">
        <f t="shared" si="325"/>
        <v>196</v>
      </c>
      <c r="AM208" s="469">
        <f t="shared" si="326"/>
        <v>176.54481901591856</v>
      </c>
      <c r="AO208">
        <f t="shared" si="327"/>
        <v>196</v>
      </c>
      <c r="AP208">
        <f t="shared" si="328"/>
        <v>176.54481901591856</v>
      </c>
      <c r="AR208" s="5">
        <f t="shared" si="343"/>
        <v>5.664284036054509</v>
      </c>
      <c r="AS208" s="5">
        <f t="shared" si="335"/>
        <v>3.5122004357298473</v>
      </c>
      <c r="AT208" s="5">
        <f t="shared" si="336"/>
        <v>2.1520836003246617</v>
      </c>
      <c r="AU208" s="177">
        <f t="shared" si="337"/>
        <v>0.62006079027355621</v>
      </c>
      <c r="AW208" s="5">
        <f t="shared" si="275"/>
        <v>4.3024455337690632</v>
      </c>
      <c r="AX208" s="5"/>
      <c r="AY208" s="5">
        <f t="shared" si="276"/>
        <v>2.1512227668845316</v>
      </c>
      <c r="AZ208" s="5"/>
      <c r="BA208" s="5">
        <f t="shared" si="277"/>
        <v>0.39056332005892014</v>
      </c>
      <c r="BB208" s="5"/>
      <c r="BC208" s="5"/>
      <c r="BD208" s="177">
        <f t="shared" si="278"/>
        <v>0.63869834549272231</v>
      </c>
      <c r="BE208" s="177">
        <f t="shared" si="279"/>
        <v>0.39996841862343785</v>
      </c>
      <c r="BF208" s="177">
        <f t="shared" si="280"/>
        <v>0.19998420931171892</v>
      </c>
      <c r="BG208" s="177"/>
      <c r="BH208" s="538">
        <f t="shared" si="281"/>
        <v>0.14277745178729931</v>
      </c>
      <c r="BI208" s="538">
        <f t="shared" si="282"/>
        <v>3.9168000000000001E-2</v>
      </c>
      <c r="BJ208" s="538">
        <f t="shared" si="283"/>
        <v>2.206810237698982E-3</v>
      </c>
      <c r="BK208" s="538">
        <f t="shared" si="284"/>
        <v>8.8056058775510208E-3</v>
      </c>
      <c r="BL208">
        <f t="shared" si="285"/>
        <v>3.48E-3</v>
      </c>
      <c r="BM208">
        <f t="shared" si="329"/>
        <v>3.0895343327785752E-6</v>
      </c>
      <c r="BN208">
        <f t="shared" si="351"/>
        <v>0.22155213727913592</v>
      </c>
      <c r="BO208" s="469">
        <f t="shared" si="286"/>
        <v>196.43786790254933</v>
      </c>
      <c r="BP208" s="177">
        <f t="shared" si="287"/>
        <v>7.8400000000000011E-2</v>
      </c>
      <c r="BQ208" s="177">
        <f t="shared" si="288"/>
        <v>3.9200000000000006E-2</v>
      </c>
      <c r="BR208" s="538"/>
      <c r="BT208" s="469">
        <f t="shared" si="289"/>
        <v>117.60000000000001</v>
      </c>
      <c r="BU208" s="538">
        <f t="shared" si="290"/>
        <v>4.0793557653514091E-2</v>
      </c>
      <c r="BV208" s="538">
        <f t="shared" si="291"/>
        <v>4.7992420768840083E-3</v>
      </c>
      <c r="BW208" s="538">
        <f t="shared" si="292"/>
        <v>1.9996841987016704E-3</v>
      </c>
      <c r="BX208" s="538">
        <f t="shared" si="293"/>
        <v>0</v>
      </c>
      <c r="BY208" s="538">
        <f t="shared" si="274"/>
        <v>5.3507305647320508E-2</v>
      </c>
      <c r="BZ208" s="538">
        <f t="shared" si="344"/>
        <v>4.7592483929099767E-2</v>
      </c>
      <c r="CA208" s="641">
        <f t="shared" si="331"/>
        <v>1.7422222222222224E-2</v>
      </c>
      <c r="CB208" s="469">
        <f t="shared" si="338"/>
        <v>166.11449572774225</v>
      </c>
      <c r="CC208" s="177">
        <f t="shared" si="345"/>
        <v>0.41008166514867872</v>
      </c>
      <c r="CD208" s="5">
        <f t="shared" si="339"/>
        <v>4.7040000000000006</v>
      </c>
      <c r="CE208" s="177">
        <f t="shared" si="340"/>
        <v>0.91981323490719868</v>
      </c>
      <c r="CF208" s="5">
        <f t="shared" si="341"/>
        <v>91.981323490719873</v>
      </c>
      <c r="CG208">
        <f t="shared" si="342"/>
        <v>98</v>
      </c>
      <c r="CI208" s="571">
        <f t="shared" si="332"/>
        <v>-50</v>
      </c>
      <c r="CJ208">
        <f t="shared" si="333"/>
        <v>-50</v>
      </c>
    </row>
    <row r="209" spans="5:88" x14ac:dyDescent="0.25">
      <c r="E209" s="174">
        <v>99</v>
      </c>
      <c r="F209" s="221">
        <f t="shared" si="352"/>
        <v>0.19800000000000001</v>
      </c>
      <c r="G209" s="221">
        <f t="shared" si="299"/>
        <v>9.9000000000000005E-2</v>
      </c>
      <c r="H209" s="221">
        <f t="shared" si="300"/>
        <v>3.1680000000000001</v>
      </c>
      <c r="I209" s="221">
        <f t="shared" si="301"/>
        <v>1.5840000000000001</v>
      </c>
      <c r="J209" s="551">
        <f t="shared" si="302"/>
        <v>12</v>
      </c>
      <c r="K209" s="451">
        <f t="shared" si="303"/>
        <v>19.584</v>
      </c>
      <c r="L209" s="451">
        <f t="shared" si="304"/>
        <v>31.584</v>
      </c>
      <c r="M209" s="451"/>
      <c r="N209" s="221">
        <f t="shared" si="305"/>
        <v>0.62006079027355621</v>
      </c>
      <c r="O209" s="176">
        <f t="shared" si="346"/>
        <v>3.3483282674772035</v>
      </c>
      <c r="P209" s="176">
        <f t="shared" si="307"/>
        <v>1.6741641337386017</v>
      </c>
      <c r="Q209" s="221">
        <f t="shared" si="308"/>
        <v>0.20927051671732522</v>
      </c>
      <c r="R209" s="221">
        <f t="shared" si="309"/>
        <v>0.20927051671732522</v>
      </c>
      <c r="S209" s="221">
        <f t="shared" si="310"/>
        <v>16</v>
      </c>
      <c r="T209" s="221">
        <f t="shared" si="311"/>
        <v>1.41921568627451</v>
      </c>
      <c r="U209" s="221">
        <f t="shared" si="312"/>
        <v>3.5480392156862752</v>
      </c>
      <c r="V209" s="221">
        <f t="shared" si="313"/>
        <v>2.1740436370626686</v>
      </c>
      <c r="W209" s="201">
        <f t="shared" si="314"/>
        <v>350</v>
      </c>
      <c r="X209" s="451">
        <f t="shared" si="315"/>
        <v>174.76153801575774</v>
      </c>
      <c r="Z209" s="221">
        <f t="shared" si="316"/>
        <v>0.70864090316977857</v>
      </c>
      <c r="AA209" s="177">
        <f t="shared" si="317"/>
        <v>1.0855405992184108</v>
      </c>
      <c r="AB209" s="177">
        <f t="shared" si="347"/>
        <v>0.1076961858920636</v>
      </c>
      <c r="AC209" s="177"/>
      <c r="AD209" s="177">
        <f t="shared" si="319"/>
        <v>0.4595588235294118</v>
      </c>
      <c r="AE209" s="555">
        <f t="shared" si="348"/>
        <v>3590.400000000001</v>
      </c>
      <c r="AF209" s="538">
        <f t="shared" si="321"/>
        <v>1.9301470588235291E-2</v>
      </c>
      <c r="AH209" s="177">
        <f t="shared" si="322"/>
        <v>0.95138996060651027</v>
      </c>
      <c r="AI209" s="177">
        <f t="shared" si="349"/>
        <v>1.41921568627451</v>
      </c>
      <c r="AJ209" s="177">
        <f t="shared" si="350"/>
        <v>2.0290486564996368</v>
      </c>
      <c r="AL209" s="555">
        <f t="shared" si="325"/>
        <v>198</v>
      </c>
      <c r="AM209" s="469">
        <f t="shared" si="326"/>
        <v>174.76153801575774</v>
      </c>
      <c r="AO209">
        <f t="shared" si="327"/>
        <v>198</v>
      </c>
      <c r="AP209">
        <f t="shared" si="328"/>
        <v>174.76153801575774</v>
      </c>
      <c r="AR209" s="5">
        <f t="shared" si="343"/>
        <v>5.7220828527489438</v>
      </c>
      <c r="AS209" s="5">
        <f t="shared" si="335"/>
        <v>3.5480392156862752</v>
      </c>
      <c r="AT209" s="5">
        <f t="shared" si="336"/>
        <v>2.1740436370626686</v>
      </c>
      <c r="AU209" s="177">
        <f t="shared" si="337"/>
        <v>0.62006079027355621</v>
      </c>
      <c r="AW209" s="5">
        <f t="shared" si="275"/>
        <v>4.3906985294117655</v>
      </c>
      <c r="AX209" s="5"/>
      <c r="AY209" s="5">
        <f t="shared" si="276"/>
        <v>2.1953492647058828</v>
      </c>
      <c r="AZ209" s="5"/>
      <c r="BA209" s="5">
        <f t="shared" si="277"/>
        <v>0.39857466679482256</v>
      </c>
      <c r="BB209" s="5"/>
      <c r="BC209" s="5"/>
      <c r="BD209" s="177">
        <f t="shared" si="278"/>
        <v>0.64521567554877057</v>
      </c>
      <c r="BE209" s="177">
        <f t="shared" si="279"/>
        <v>0.40404972901755465</v>
      </c>
      <c r="BF209" s="177">
        <f t="shared" si="280"/>
        <v>0.20202486450877732</v>
      </c>
      <c r="BG209" s="177"/>
      <c r="BH209" s="538">
        <f t="shared" si="281"/>
        <v>0.14570614379084973</v>
      </c>
      <c r="BI209" s="538">
        <f t="shared" si="282"/>
        <v>3.9168000000000001E-2</v>
      </c>
      <c r="BJ209" s="538">
        <f t="shared" si="283"/>
        <v>2.184519225196972E-3</v>
      </c>
      <c r="BK209" s="538">
        <f t="shared" si="284"/>
        <v>8.7166603636363634E-3</v>
      </c>
      <c r="BL209">
        <f t="shared" si="285"/>
        <v>3.48E-3</v>
      </c>
      <c r="BM209">
        <f t="shared" si="329"/>
        <v>3.0583269152757604E-6</v>
      </c>
      <c r="BN209">
        <f t="shared" si="351"/>
        <v>0.22497671134870936</v>
      </c>
      <c r="BO209" s="469">
        <f t="shared" si="286"/>
        <v>199.25532337968306</v>
      </c>
      <c r="BP209" s="177">
        <f t="shared" si="287"/>
        <v>7.9200000000000007E-2</v>
      </c>
      <c r="BQ209" s="177">
        <f t="shared" si="288"/>
        <v>3.9600000000000003E-2</v>
      </c>
      <c r="BR209" s="538"/>
      <c r="BT209" s="469">
        <f t="shared" si="289"/>
        <v>118.80000000000001</v>
      </c>
      <c r="BU209" s="538">
        <f t="shared" si="290"/>
        <v>4.1630326797385639E-2</v>
      </c>
      <c r="BV209" s="538">
        <f t="shared" si="291"/>
        <v>4.8976855055747805E-3</v>
      </c>
      <c r="BW209" s="538">
        <f t="shared" si="292"/>
        <v>2.0407022939894922E-3</v>
      </c>
      <c r="BX209" s="538">
        <f t="shared" si="293"/>
        <v>0</v>
      </c>
      <c r="BY209" s="538">
        <f t="shared" si="274"/>
        <v>5.4609144023018925E-2</v>
      </c>
      <c r="BZ209" s="538">
        <f t="shared" si="344"/>
        <v>4.8568714596949912E-2</v>
      </c>
      <c r="CA209" s="641">
        <f t="shared" si="331"/>
        <v>1.7600000000000005E-2</v>
      </c>
      <c r="CB209" s="469">
        <f t="shared" si="338"/>
        <v>169.34657321691876</v>
      </c>
      <c r="CC209" s="177">
        <f t="shared" si="345"/>
        <v>0.41598585537172833</v>
      </c>
      <c r="CD209" s="5">
        <f t="shared" si="339"/>
        <v>4.7520000000000007</v>
      </c>
      <c r="CE209" s="177">
        <f t="shared" si="340"/>
        <v>0.91950716062054572</v>
      </c>
      <c r="CF209" s="5">
        <f t="shared" si="341"/>
        <v>91.950716062054568</v>
      </c>
      <c r="CG209">
        <f t="shared" si="342"/>
        <v>99</v>
      </c>
      <c r="CI209" s="571">
        <f t="shared" si="332"/>
        <v>-50</v>
      </c>
      <c r="CJ209">
        <f t="shared" si="333"/>
        <v>-50</v>
      </c>
    </row>
    <row r="210" spans="5:88" x14ac:dyDescent="0.25">
      <c r="E210" s="174">
        <v>100</v>
      </c>
      <c r="F210" s="221">
        <f t="shared" si="352"/>
        <v>0.2</v>
      </c>
      <c r="G210" s="221">
        <f t="shared" si="299"/>
        <v>0.1</v>
      </c>
      <c r="H210" s="221">
        <f t="shared" si="300"/>
        <v>3.2</v>
      </c>
      <c r="I210" s="221">
        <f t="shared" si="301"/>
        <v>1.6</v>
      </c>
      <c r="J210" s="551">
        <f t="shared" si="302"/>
        <v>12</v>
      </c>
      <c r="K210" s="451">
        <f t="shared" si="303"/>
        <v>19.584</v>
      </c>
      <c r="L210" s="451">
        <f t="shared" si="304"/>
        <v>31.584</v>
      </c>
      <c r="M210" s="451"/>
      <c r="N210" s="221">
        <f t="shared" si="305"/>
        <v>0.62006079027355621</v>
      </c>
      <c r="O210" s="176">
        <f t="shared" si="346"/>
        <v>3.3483282674772035</v>
      </c>
      <c r="P210" s="176">
        <f t="shared" si="307"/>
        <v>1.6741641337386017</v>
      </c>
      <c r="Q210" s="221">
        <f t="shared" si="308"/>
        <v>0.20927051671732522</v>
      </c>
      <c r="R210" s="221">
        <f t="shared" si="309"/>
        <v>0.20927051671732522</v>
      </c>
      <c r="S210" s="221">
        <f t="shared" si="310"/>
        <v>16</v>
      </c>
      <c r="T210" s="221">
        <f t="shared" si="311"/>
        <v>1.4335511982570808</v>
      </c>
      <c r="U210" s="221">
        <f t="shared" si="312"/>
        <v>3.5838779956427023</v>
      </c>
      <c r="V210" s="221">
        <f t="shared" si="313"/>
        <v>2.1960036738006754</v>
      </c>
      <c r="W210" s="201">
        <f t="shared" si="314"/>
        <v>350</v>
      </c>
      <c r="X210" s="451">
        <f t="shared" si="315"/>
        <v>173.01392263560015</v>
      </c>
      <c r="Z210" s="221">
        <f t="shared" si="316"/>
        <v>0.70864090316977857</v>
      </c>
      <c r="AA210" s="177">
        <f t="shared" si="317"/>
        <v>1.0855405992184108</v>
      </c>
      <c r="AB210" s="177">
        <f t="shared" si="347"/>
        <v>0.1076961858920636</v>
      </c>
      <c r="AC210" s="177"/>
      <c r="AD210" s="177">
        <f t="shared" si="319"/>
        <v>0.4595588235294118</v>
      </c>
      <c r="AE210" s="555">
        <f t="shared" si="348"/>
        <v>3626.6666666666674</v>
      </c>
      <c r="AF210" s="538">
        <f t="shared" si="321"/>
        <v>1.9301470588235291E-2</v>
      </c>
      <c r="AH210" s="177">
        <f t="shared" si="322"/>
        <v>0.95618288746751501</v>
      </c>
      <c r="AI210" s="177">
        <f t="shared" si="349"/>
        <v>1.4335511982570808</v>
      </c>
      <c r="AJ210" s="177">
        <f t="shared" si="350"/>
        <v>2.0396675542645042</v>
      </c>
      <c r="AL210" s="555">
        <f t="shared" si="325"/>
        <v>200</v>
      </c>
      <c r="AM210" s="469">
        <f t="shared" si="326"/>
        <v>173.01392263560015</v>
      </c>
      <c r="AO210">
        <f t="shared" si="327"/>
        <v>200</v>
      </c>
      <c r="AP210">
        <f t="shared" si="328"/>
        <v>173.01392263560015</v>
      </c>
      <c r="AR210" s="5">
        <f t="shared" si="343"/>
        <v>5.7798816694433777</v>
      </c>
      <c r="AS210" s="5">
        <f t="shared" si="335"/>
        <v>3.5838779956427023</v>
      </c>
      <c r="AT210" s="5">
        <f t="shared" si="336"/>
        <v>2.1960036738006754</v>
      </c>
      <c r="AU210" s="177">
        <f t="shared" si="337"/>
        <v>0.62006079027355621</v>
      </c>
      <c r="AW210" s="5">
        <f t="shared" si="275"/>
        <v>4.4798474945533782</v>
      </c>
      <c r="AX210" s="5"/>
      <c r="AY210" s="5">
        <f t="shared" si="276"/>
        <v>2.2399237472766891</v>
      </c>
      <c r="AZ210" s="5"/>
      <c r="BA210" s="5">
        <f t="shared" si="277"/>
        <v>0.40666734700012513</v>
      </c>
      <c r="BB210" s="5"/>
      <c r="BC210" s="5"/>
      <c r="BD210" s="177">
        <f t="shared" si="278"/>
        <v>0.65173300560481873</v>
      </c>
      <c r="BE210" s="177">
        <f t="shared" si="279"/>
        <v>0.40813103941167134</v>
      </c>
      <c r="BF210" s="177">
        <f t="shared" si="280"/>
        <v>0.20406551970583567</v>
      </c>
      <c r="BG210" s="177"/>
      <c r="BH210" s="538">
        <f t="shared" si="281"/>
        <v>0.14866456870814174</v>
      </c>
      <c r="BI210" s="538">
        <f t="shared" si="282"/>
        <v>3.9167999999999994E-2</v>
      </c>
      <c r="BJ210" s="538">
        <f t="shared" si="283"/>
        <v>2.162674032945002E-3</v>
      </c>
      <c r="BK210" s="538">
        <f t="shared" si="284"/>
        <v>8.6294937599999989E-3</v>
      </c>
      <c r="BL210">
        <f t="shared" si="285"/>
        <v>3.48E-3</v>
      </c>
      <c r="BM210">
        <f t="shared" si="329"/>
        <v>3.0277436461230027E-6</v>
      </c>
      <c r="BN210">
        <f t="shared" si="351"/>
        <v>0.22844336567303941</v>
      </c>
      <c r="BO210" s="469">
        <f t="shared" si="286"/>
        <v>202.10473650108676</v>
      </c>
      <c r="BP210" s="177">
        <f t="shared" si="287"/>
        <v>8.0000000000000016E-2</v>
      </c>
      <c r="BQ210" s="177">
        <f t="shared" si="288"/>
        <v>4.0000000000000008E-2</v>
      </c>
      <c r="BR210" s="538"/>
      <c r="BT210" s="469">
        <f t="shared" si="289"/>
        <v>120.00000000000003</v>
      </c>
      <c r="BU210" s="538">
        <f t="shared" si="290"/>
        <v>4.2475591059469076E-2</v>
      </c>
      <c r="BV210" s="538">
        <f t="shared" si="291"/>
        <v>4.9971283599375364E-3</v>
      </c>
      <c r="BW210" s="538">
        <f t="shared" si="292"/>
        <v>2.0821368166406401E-3</v>
      </c>
      <c r="BX210" s="538">
        <f t="shared" si="293"/>
        <v>0</v>
      </c>
      <c r="BY210" s="538">
        <f t="shared" si="274"/>
        <v>5.5722344004073526E-2</v>
      </c>
      <c r="BZ210" s="538">
        <f t="shared" si="344"/>
        <v>4.9554856236047252E-2</v>
      </c>
      <c r="CA210" s="641">
        <f t="shared" si="331"/>
        <v>1.7777777777777781E-2</v>
      </c>
      <c r="CB210" s="469">
        <f t="shared" si="338"/>
        <v>172.60983425394579</v>
      </c>
      <c r="CC210" s="177">
        <f t="shared" si="345"/>
        <v>0.42194348745489074</v>
      </c>
      <c r="CD210" s="5">
        <f t="shared" si="339"/>
        <v>4.8000000000000007</v>
      </c>
      <c r="CE210" s="177">
        <f t="shared" si="340"/>
        <v>0.91919799812683534</v>
      </c>
      <c r="CF210" s="5">
        <f t="shared" si="341"/>
        <v>91.919799812683536</v>
      </c>
      <c r="CG210">
        <f t="shared" si="342"/>
        <v>100</v>
      </c>
      <c r="CI210" s="571">
        <f t="shared" si="332"/>
        <v>-50</v>
      </c>
      <c r="CJ210">
        <f t="shared" si="333"/>
        <v>-50</v>
      </c>
    </row>
    <row r="211" spans="5:88" ht="13" x14ac:dyDescent="0.3">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5">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5">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ht="13" x14ac:dyDescent="0.3">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3">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5">
      <c r="E216" s="174">
        <v>0.1</v>
      </c>
      <c r="F216" s="221">
        <v>1.0000000000000001E-9</v>
      </c>
      <c r="G216" s="221">
        <f t="shared" ref="G216:G247" si="353">IF(PLOT_TYPE=1, E216/100*Iout2, min_I*EXP(Q216*rr/100))</f>
        <v>1E-4</v>
      </c>
      <c r="H216" s="221">
        <f t="shared" ref="H216:H247" si="354">F216*Vout</f>
        <v>1.6000000000000001E-8</v>
      </c>
      <c r="I216" s="221">
        <f t="shared" ref="I216:I247" si="355">Vout2*G216</f>
        <v>1.6000000000000001E-3</v>
      </c>
      <c r="J216" s="551">
        <f t="shared" ref="J216:J279" si="356">VIN_max</f>
        <v>48</v>
      </c>
      <c r="K216" s="451">
        <f t="shared" ref="K216:K279" si="357">(S216+Vfwd1)*Nps</f>
        <v>19.584</v>
      </c>
      <c r="L216" s="451">
        <f t="shared" ref="L216:L279" si="358">(Vout+Vfwd1)*Nps+J216</f>
        <v>67.584000000000003</v>
      </c>
      <c r="M216" s="451"/>
      <c r="N216" s="221">
        <f t="shared" ref="N216:N279" si="359">(Vout+Vfwd1)*Nps/((Vout+Vfwd1)*Nps+J216)</f>
        <v>0.28977272727272724</v>
      </c>
      <c r="O216" s="176">
        <f t="shared" ref="O216:O247" si="360">N216*J216*Isw_max*0.5*Efficiency*Pout/(Pout+Pout2)</f>
        <v>6.259090909090907</v>
      </c>
      <c r="P216" s="176">
        <f t="shared" ref="P216:P247" si="361">N216*J216*Isw_max*0.5*Efficiency*(Pout2/Pout_total)</f>
        <v>3.129545454545454</v>
      </c>
      <c r="Q216" s="221">
        <f t="shared" ref="Q216:Q279" si="362">O216/Vout</f>
        <v>0.39119318181818169</v>
      </c>
      <c r="R216" s="221">
        <f t="shared" ref="R216:R247" si="363">O216/Vout2</f>
        <v>0.39119318181818169</v>
      </c>
      <c r="S216" s="221">
        <f t="shared" ref="S216:S247" si="364">MIN(Vout,O216/F216)</f>
        <v>16</v>
      </c>
      <c r="T216" s="221">
        <f t="shared" ref="T216:T247" si="365">MIN(2*(Vout*F216+Vout2*G216)/(Efficiency*J216*N216), Isw_max)</f>
        <v>2.5563073347857667E-4</v>
      </c>
      <c r="U216" s="221">
        <f t="shared" ref="U216:U279" si="366">L*T216/J216*1000000</f>
        <v>1.5976920842411044E-4</v>
      </c>
      <c r="V216" s="221">
        <f t="shared" ref="V216:V279" si="367">L*T216/K216*1000000</f>
        <v>3.9159119711791774E-4</v>
      </c>
      <c r="W216" s="201">
        <f t="shared" ref="W216:W279" si="368">IF(1/((350000*L)*(1/J216+1/K216))&gt;Isw_min, 350, 0.001/((Isw_min*L)*(1/J216+1/K216)))</f>
        <v>350</v>
      </c>
      <c r="X216" s="451">
        <f t="shared" ref="X216:X279" si="369">MIN(1/(U216+V216)*1000, 350)</f>
        <v>350</v>
      </c>
      <c r="Z216" s="221">
        <f t="shared" ref="Z216:Z279" si="370">1/((W216*1000*L)*(1/J216+1/K216))</f>
        <v>1.3246753246753247</v>
      </c>
      <c r="AA216" s="177">
        <f t="shared" ref="AA216:AA279" si="371">L*Z216/K216*1000000</f>
        <v>2.029220779220779</v>
      </c>
      <c r="AB216" s="177">
        <f t="shared" ref="AB216:AB247" si="372">0.5*AA216*Z216*Nps*W216/1000*(Pout/(Pout+Pout2))</f>
        <v>0.37632821723730803</v>
      </c>
      <c r="AC216" s="177"/>
      <c r="AD216" s="177">
        <f t="shared" ref="AD216:AD279" si="373">L*Isw_min/K216*1000000</f>
        <v>0.4595588235294118</v>
      </c>
      <c r="AE216" s="555">
        <f t="shared" ref="AE216:AE247" si="374">MAX(10, F216/(0.5*AD216/1000000*Isw_min*Nps)/1000*Pout_total/Pout)</f>
        <v>10</v>
      </c>
      <c r="AF216" s="538">
        <f t="shared" ref="AF216:AF247" si="375">0.5*AD216/1000000*Isw_min*Nps*W216*1000*(Pout/Pout_total)</f>
        <v>1.9301470588235291E-2</v>
      </c>
      <c r="AH216" s="177">
        <f t="shared" ref="AH216:AH247" si="376">SQRT((H216+I216)/(0.5*L*Fsw_DCM))</f>
        <v>1.7457518505817268E-2</v>
      </c>
      <c r="AI216" s="177">
        <f t="shared" ref="AI216:AI247" si="377">MAX(IF(F216&gt;AB216,T216,AH216),Isw_min)</f>
        <v>0.3</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0.1875</v>
      </c>
      <c r="AT216" s="5">
        <f t="shared" si="336"/>
        <v>99.8125</v>
      </c>
      <c r="AU216" s="177">
        <f t="shared" si="337"/>
        <v>1.8749999999999999E-3</v>
      </c>
      <c r="CI216" s="571">
        <f t="shared" ref="CI216:CI247" si="383">IF(ABS(F216-Ioutmax_Vinmax)&lt;Iout/200, AM216, -50)</f>
        <v>-50</v>
      </c>
    </row>
    <row r="217" spans="5:88" x14ac:dyDescent="0.25">
      <c r="E217" s="174">
        <v>1</v>
      </c>
      <c r="F217" s="221">
        <f t="shared" ref="F217:F248" si="384">IF(PLOT_TYPE=1, E217/100*Iout_max, min_I*EXP(O217*rr/100))</f>
        <v>2E-3</v>
      </c>
      <c r="G217" s="221">
        <f t="shared" si="353"/>
        <v>1E-3</v>
      </c>
      <c r="H217" s="221">
        <f t="shared" si="354"/>
        <v>3.2000000000000001E-2</v>
      </c>
      <c r="I217" s="221">
        <f t="shared" si="355"/>
        <v>1.6E-2</v>
      </c>
      <c r="J217" s="551">
        <f t="shared" si="356"/>
        <v>48</v>
      </c>
      <c r="K217" s="451">
        <f t="shared" si="357"/>
        <v>19.584</v>
      </c>
      <c r="L217" s="451">
        <f t="shared" si="358"/>
        <v>67.584000000000003</v>
      </c>
      <c r="M217" s="451"/>
      <c r="N217" s="221">
        <f t="shared" si="359"/>
        <v>0.28977272727272724</v>
      </c>
      <c r="O217" s="176">
        <f t="shared" si="360"/>
        <v>6.259090909090907</v>
      </c>
      <c r="P217" s="176">
        <f t="shared" si="361"/>
        <v>3.129545454545454</v>
      </c>
      <c r="Q217" s="221">
        <f t="shared" si="362"/>
        <v>0.39119318181818169</v>
      </c>
      <c r="R217" s="221">
        <f t="shared" si="363"/>
        <v>0.39119318181818169</v>
      </c>
      <c r="S217" s="221">
        <f t="shared" si="364"/>
        <v>16</v>
      </c>
      <c r="T217" s="221">
        <f t="shared" si="365"/>
        <v>7.6688453159041402E-3</v>
      </c>
      <c r="U217" s="221">
        <f t="shared" si="366"/>
        <v>4.7930283224400872E-3</v>
      </c>
      <c r="V217" s="221">
        <f t="shared" si="367"/>
        <v>1.1747618437353157E-2</v>
      </c>
      <c r="W217" s="201">
        <f t="shared" si="368"/>
        <v>350</v>
      </c>
      <c r="X217" s="451">
        <f t="shared" si="369"/>
        <v>350</v>
      </c>
      <c r="Z217" s="221">
        <f t="shared" si="370"/>
        <v>1.3246753246753247</v>
      </c>
      <c r="AA217" s="177">
        <f t="shared" si="371"/>
        <v>2.029220779220779</v>
      </c>
      <c r="AB217" s="177">
        <f t="shared" si="372"/>
        <v>0.37632821723730803</v>
      </c>
      <c r="AC217" s="177"/>
      <c r="AD217" s="177">
        <f t="shared" si="373"/>
        <v>0.4595588235294118</v>
      </c>
      <c r="AE217" s="555">
        <f t="shared" si="374"/>
        <v>36.266666666666673</v>
      </c>
      <c r="AF217" s="538">
        <f t="shared" si="375"/>
        <v>1.9301470588235291E-2</v>
      </c>
      <c r="AH217" s="177">
        <f t="shared" si="376"/>
        <v>9.561828874675149E-2</v>
      </c>
      <c r="AI217" s="177">
        <f t="shared" si="377"/>
        <v>0.3</v>
      </c>
      <c r="AJ217" s="177">
        <f t="shared" si="378"/>
        <v>1.0207238095238096</v>
      </c>
      <c r="AL217" s="555">
        <f t="shared" si="379"/>
        <v>2</v>
      </c>
      <c r="AM217" s="469">
        <f t="shared" si="380"/>
        <v>36.266666666666673</v>
      </c>
      <c r="AO217">
        <f t="shared" si="381"/>
        <v>2</v>
      </c>
      <c r="AP217">
        <f t="shared" si="382"/>
        <v>36.266666666666673</v>
      </c>
      <c r="AR217" s="5">
        <f t="shared" si="343"/>
        <v>27.573529411764703</v>
      </c>
      <c r="AS217" s="5">
        <f t="shared" si="335"/>
        <v>0.1875</v>
      </c>
      <c r="AT217" s="5">
        <f t="shared" si="336"/>
        <v>27.386029411764703</v>
      </c>
      <c r="AU217" s="177">
        <f t="shared" si="337"/>
        <v>6.8000000000000005E-3</v>
      </c>
      <c r="CI217" s="571">
        <f t="shared" si="383"/>
        <v>-50</v>
      </c>
    </row>
    <row r="218" spans="5:88" x14ac:dyDescent="0.25">
      <c r="E218" s="174">
        <v>2</v>
      </c>
      <c r="F218" s="221">
        <f t="shared" si="384"/>
        <v>4.0000000000000001E-3</v>
      </c>
      <c r="G218" s="221">
        <f t="shared" si="353"/>
        <v>2E-3</v>
      </c>
      <c r="H218" s="221">
        <f t="shared" si="354"/>
        <v>6.4000000000000001E-2</v>
      </c>
      <c r="I218" s="221">
        <f t="shared" si="355"/>
        <v>3.2000000000000001E-2</v>
      </c>
      <c r="J218" s="551">
        <f t="shared" si="356"/>
        <v>48</v>
      </c>
      <c r="K218" s="451">
        <f t="shared" si="357"/>
        <v>19.584</v>
      </c>
      <c r="L218" s="451">
        <f t="shared" si="358"/>
        <v>67.584000000000003</v>
      </c>
      <c r="M218" s="451"/>
      <c r="N218" s="221">
        <f t="shared" si="359"/>
        <v>0.28977272727272724</v>
      </c>
      <c r="O218" s="176">
        <f t="shared" si="360"/>
        <v>6.259090909090907</v>
      </c>
      <c r="P218" s="176">
        <f t="shared" si="361"/>
        <v>3.129545454545454</v>
      </c>
      <c r="Q218" s="221">
        <f t="shared" si="362"/>
        <v>0.39119318181818169</v>
      </c>
      <c r="R218" s="221">
        <f t="shared" si="363"/>
        <v>0.39119318181818169</v>
      </c>
      <c r="S218" s="221">
        <f t="shared" si="364"/>
        <v>16</v>
      </c>
      <c r="T218" s="221">
        <f t="shared" si="365"/>
        <v>1.533769063180828E-2</v>
      </c>
      <c r="U218" s="221">
        <f t="shared" si="366"/>
        <v>9.5860566448801744E-3</v>
      </c>
      <c r="V218" s="221">
        <f t="shared" si="367"/>
        <v>2.3495236874706314E-2</v>
      </c>
      <c r="W218" s="201">
        <f t="shared" si="368"/>
        <v>350</v>
      </c>
      <c r="X218" s="451">
        <f t="shared" si="369"/>
        <v>350</v>
      </c>
      <c r="Z218" s="221">
        <f t="shared" si="370"/>
        <v>1.3246753246753247</v>
      </c>
      <c r="AA218" s="177">
        <f t="shared" si="371"/>
        <v>2.029220779220779</v>
      </c>
      <c r="AB218" s="177">
        <f t="shared" si="372"/>
        <v>0.37632821723730803</v>
      </c>
      <c r="AC218" s="177"/>
      <c r="AD218" s="177">
        <f t="shared" si="373"/>
        <v>0.4595588235294118</v>
      </c>
      <c r="AE218" s="555">
        <f t="shared" si="374"/>
        <v>72.533333333333346</v>
      </c>
      <c r="AF218" s="538">
        <f t="shared" si="375"/>
        <v>1.9301470588235291E-2</v>
      </c>
      <c r="AH218" s="177">
        <f t="shared" si="376"/>
        <v>0.13522468075656266</v>
      </c>
      <c r="AI218" s="177">
        <f t="shared" si="377"/>
        <v>0.3</v>
      </c>
      <c r="AJ218" s="177">
        <f t="shared" si="378"/>
        <v>1.041447619047619</v>
      </c>
      <c r="AL218" s="555">
        <f t="shared" si="379"/>
        <v>4</v>
      </c>
      <c r="AM218" s="469">
        <f t="shared" si="380"/>
        <v>72.533333333333346</v>
      </c>
      <c r="AO218">
        <f t="shared" si="381"/>
        <v>4</v>
      </c>
      <c r="AP218">
        <f t="shared" si="382"/>
        <v>72.533333333333346</v>
      </c>
      <c r="AR218" s="5">
        <f t="shared" si="343"/>
        <v>13.786764705882351</v>
      </c>
      <c r="AS218" s="5">
        <f t="shared" si="335"/>
        <v>0.1875</v>
      </c>
      <c r="AT218" s="5">
        <f t="shared" si="336"/>
        <v>13.599264705882351</v>
      </c>
      <c r="AU218" s="177">
        <f t="shared" si="337"/>
        <v>1.3600000000000001E-2</v>
      </c>
      <c r="CI218" s="571">
        <f t="shared" si="383"/>
        <v>-50</v>
      </c>
    </row>
    <row r="219" spans="5:88" x14ac:dyDescent="0.25">
      <c r="E219" s="174">
        <v>3</v>
      </c>
      <c r="F219" s="221">
        <f t="shared" si="384"/>
        <v>6.0000000000000001E-3</v>
      </c>
      <c r="G219" s="221">
        <f t="shared" si="353"/>
        <v>3.0000000000000001E-3</v>
      </c>
      <c r="H219" s="221">
        <f t="shared" si="354"/>
        <v>9.6000000000000002E-2</v>
      </c>
      <c r="I219" s="221">
        <f t="shared" si="355"/>
        <v>4.8000000000000001E-2</v>
      </c>
      <c r="J219" s="551">
        <f t="shared" si="356"/>
        <v>48</v>
      </c>
      <c r="K219" s="451">
        <f t="shared" si="357"/>
        <v>19.584</v>
      </c>
      <c r="L219" s="451">
        <f t="shared" si="358"/>
        <v>67.584000000000003</v>
      </c>
      <c r="M219" s="451"/>
      <c r="N219" s="221">
        <f t="shared" si="359"/>
        <v>0.28977272727272724</v>
      </c>
      <c r="O219" s="176">
        <f t="shared" si="360"/>
        <v>6.259090909090907</v>
      </c>
      <c r="P219" s="176">
        <f t="shared" si="361"/>
        <v>3.129545454545454</v>
      </c>
      <c r="Q219" s="221">
        <f t="shared" si="362"/>
        <v>0.39119318181818169</v>
      </c>
      <c r="R219" s="221">
        <f t="shared" si="363"/>
        <v>0.39119318181818169</v>
      </c>
      <c r="S219" s="221">
        <f t="shared" si="364"/>
        <v>16</v>
      </c>
      <c r="T219" s="221">
        <f t="shared" si="365"/>
        <v>2.3006535947712421E-2</v>
      </c>
      <c r="U219" s="221">
        <f t="shared" si="366"/>
        <v>1.4379084967320262E-2</v>
      </c>
      <c r="V219" s="221">
        <f t="shared" si="367"/>
        <v>3.5242855312059465E-2</v>
      </c>
      <c r="W219" s="201">
        <f t="shared" si="368"/>
        <v>350</v>
      </c>
      <c r="X219" s="451">
        <f t="shared" si="369"/>
        <v>350</v>
      </c>
      <c r="Z219" s="221">
        <f t="shared" si="370"/>
        <v>1.3246753246753247</v>
      </c>
      <c r="AA219" s="177">
        <f t="shared" si="371"/>
        <v>2.029220779220779</v>
      </c>
      <c r="AB219" s="177">
        <f t="shared" si="372"/>
        <v>0.37632821723730803</v>
      </c>
      <c r="AC219" s="177"/>
      <c r="AD219" s="177">
        <f t="shared" si="373"/>
        <v>0.4595588235294118</v>
      </c>
      <c r="AE219" s="555">
        <f t="shared" si="374"/>
        <v>108.80000000000004</v>
      </c>
      <c r="AF219" s="538">
        <f t="shared" si="375"/>
        <v>1.9301470588235291E-2</v>
      </c>
      <c r="AH219" s="177">
        <f t="shared" si="376"/>
        <v>0.16561573424216502</v>
      </c>
      <c r="AI219" s="177">
        <f t="shared" si="377"/>
        <v>0.3</v>
      </c>
      <c r="AJ219" s="177">
        <f t="shared" si="378"/>
        <v>1.0621714285714285</v>
      </c>
      <c r="AL219" s="555">
        <f t="shared" si="379"/>
        <v>6</v>
      </c>
      <c r="AM219" s="469">
        <f t="shared" si="380"/>
        <v>108.80000000000004</v>
      </c>
      <c r="AO219">
        <f t="shared" si="381"/>
        <v>6</v>
      </c>
      <c r="AP219">
        <f t="shared" si="382"/>
        <v>108.80000000000004</v>
      </c>
      <c r="AR219" s="5">
        <f t="shared" si="343"/>
        <v>9.191176470588232</v>
      </c>
      <c r="AS219" s="5">
        <f t="shared" si="335"/>
        <v>0.1875</v>
      </c>
      <c r="AT219" s="5">
        <f t="shared" si="336"/>
        <v>9.003676470588232</v>
      </c>
      <c r="AU219" s="177">
        <f t="shared" si="337"/>
        <v>2.0400000000000008E-2</v>
      </c>
      <c r="CI219" s="571">
        <f t="shared" si="383"/>
        <v>-50</v>
      </c>
    </row>
    <row r="220" spans="5:88" x14ac:dyDescent="0.25">
      <c r="E220" s="174">
        <v>4</v>
      </c>
      <c r="F220" s="221">
        <f t="shared" si="384"/>
        <v>8.0000000000000002E-3</v>
      </c>
      <c r="G220" s="221">
        <f t="shared" si="353"/>
        <v>4.0000000000000001E-3</v>
      </c>
      <c r="H220" s="221">
        <f t="shared" si="354"/>
        <v>0.128</v>
      </c>
      <c r="I220" s="221">
        <f t="shared" si="355"/>
        <v>6.4000000000000001E-2</v>
      </c>
      <c r="J220" s="551">
        <f t="shared" si="356"/>
        <v>48</v>
      </c>
      <c r="K220" s="451">
        <f t="shared" si="357"/>
        <v>19.584</v>
      </c>
      <c r="L220" s="451">
        <f t="shared" si="358"/>
        <v>67.584000000000003</v>
      </c>
      <c r="M220" s="451"/>
      <c r="N220" s="221">
        <f t="shared" si="359"/>
        <v>0.28977272727272724</v>
      </c>
      <c r="O220" s="176">
        <f t="shared" si="360"/>
        <v>6.259090909090907</v>
      </c>
      <c r="P220" s="176">
        <f t="shared" si="361"/>
        <v>3.129545454545454</v>
      </c>
      <c r="Q220" s="221">
        <f t="shared" si="362"/>
        <v>0.39119318181818169</v>
      </c>
      <c r="R220" s="221">
        <f t="shared" si="363"/>
        <v>0.39119318181818169</v>
      </c>
      <c r="S220" s="221">
        <f t="shared" si="364"/>
        <v>16</v>
      </c>
      <c r="T220" s="221">
        <f t="shared" si="365"/>
        <v>3.0675381263616561E-2</v>
      </c>
      <c r="U220" s="221">
        <f t="shared" si="366"/>
        <v>1.9172113289760349E-2</v>
      </c>
      <c r="V220" s="221">
        <f t="shared" si="367"/>
        <v>4.6990473749412627E-2</v>
      </c>
      <c r="W220" s="201">
        <f t="shared" si="368"/>
        <v>350</v>
      </c>
      <c r="X220" s="451">
        <f t="shared" si="369"/>
        <v>350</v>
      </c>
      <c r="Z220" s="221">
        <f t="shared" si="370"/>
        <v>1.3246753246753247</v>
      </c>
      <c r="AA220" s="177">
        <f t="shared" si="371"/>
        <v>2.029220779220779</v>
      </c>
      <c r="AB220" s="177">
        <f t="shared" si="372"/>
        <v>0.37632821723730803</v>
      </c>
      <c r="AC220" s="177"/>
      <c r="AD220" s="177">
        <f t="shared" si="373"/>
        <v>0.4595588235294118</v>
      </c>
      <c r="AE220" s="555">
        <f t="shared" si="374"/>
        <v>145.06666666666669</v>
      </c>
      <c r="AF220" s="538">
        <f t="shared" si="375"/>
        <v>1.9301470588235291E-2</v>
      </c>
      <c r="AH220" s="177">
        <f t="shared" si="376"/>
        <v>0.19123657749350298</v>
      </c>
      <c r="AI220" s="177">
        <f t="shared" si="377"/>
        <v>0.3</v>
      </c>
      <c r="AJ220" s="177">
        <f t="shared" si="378"/>
        <v>1.0828952380952381</v>
      </c>
      <c r="AL220" s="555">
        <f t="shared" si="379"/>
        <v>8</v>
      </c>
      <c r="AM220" s="469">
        <f t="shared" si="380"/>
        <v>145.06666666666669</v>
      </c>
      <c r="AO220">
        <f t="shared" si="381"/>
        <v>8</v>
      </c>
      <c r="AP220">
        <f t="shared" si="382"/>
        <v>145.06666666666669</v>
      </c>
      <c r="AR220" s="5">
        <f t="shared" si="343"/>
        <v>6.8933823529411757</v>
      </c>
      <c r="AS220" s="5">
        <f t="shared" si="335"/>
        <v>0.1875</v>
      </c>
      <c r="AT220" s="5">
        <f t="shared" si="336"/>
        <v>6.7058823529411757</v>
      </c>
      <c r="AU220" s="177">
        <f t="shared" si="337"/>
        <v>2.7200000000000002E-2</v>
      </c>
      <c r="CI220" s="571">
        <f t="shared" si="383"/>
        <v>-50</v>
      </c>
    </row>
    <row r="221" spans="5:88" x14ac:dyDescent="0.25">
      <c r="E221" s="174">
        <v>5</v>
      </c>
      <c r="F221" s="221">
        <f t="shared" si="384"/>
        <v>1.0000000000000002E-2</v>
      </c>
      <c r="G221" s="221">
        <f t="shared" si="353"/>
        <v>5.000000000000001E-3</v>
      </c>
      <c r="H221" s="221">
        <f t="shared" si="354"/>
        <v>0.16000000000000003</v>
      </c>
      <c r="I221" s="221">
        <f t="shared" si="355"/>
        <v>8.0000000000000016E-2</v>
      </c>
      <c r="J221" s="551">
        <f t="shared" si="356"/>
        <v>48</v>
      </c>
      <c r="K221" s="451">
        <f t="shared" si="357"/>
        <v>19.584</v>
      </c>
      <c r="L221" s="451">
        <f t="shared" si="358"/>
        <v>67.584000000000003</v>
      </c>
      <c r="M221" s="451"/>
      <c r="N221" s="221">
        <f t="shared" si="359"/>
        <v>0.28977272727272724</v>
      </c>
      <c r="O221" s="176">
        <f t="shared" si="360"/>
        <v>6.259090909090907</v>
      </c>
      <c r="P221" s="176">
        <f t="shared" si="361"/>
        <v>3.129545454545454</v>
      </c>
      <c r="Q221" s="221">
        <f t="shared" si="362"/>
        <v>0.39119318181818169</v>
      </c>
      <c r="R221" s="221">
        <f t="shared" si="363"/>
        <v>0.39119318181818169</v>
      </c>
      <c r="S221" s="221">
        <f t="shared" si="364"/>
        <v>16</v>
      </c>
      <c r="T221" s="221">
        <f t="shared" si="365"/>
        <v>3.8344226579520704E-2</v>
      </c>
      <c r="U221" s="221">
        <f t="shared" si="366"/>
        <v>2.3965141612200442E-2</v>
      </c>
      <c r="V221" s="221">
        <f t="shared" si="367"/>
        <v>5.8738092186765789E-2</v>
      </c>
      <c r="W221" s="201">
        <f t="shared" si="368"/>
        <v>350</v>
      </c>
      <c r="X221" s="451">
        <f t="shared" si="369"/>
        <v>350</v>
      </c>
      <c r="Z221" s="221">
        <f t="shared" si="370"/>
        <v>1.3246753246753247</v>
      </c>
      <c r="AA221" s="177">
        <f t="shared" si="371"/>
        <v>2.029220779220779</v>
      </c>
      <c r="AB221" s="177">
        <f t="shared" si="372"/>
        <v>0.37632821723730803</v>
      </c>
      <c r="AC221" s="177"/>
      <c r="AD221" s="177">
        <f t="shared" si="373"/>
        <v>0.4595588235294118</v>
      </c>
      <c r="AE221" s="555">
        <f t="shared" si="374"/>
        <v>181.3333333333334</v>
      </c>
      <c r="AF221" s="538">
        <f t="shared" si="375"/>
        <v>1.9301470588235291E-2</v>
      </c>
      <c r="AH221" s="177">
        <f t="shared" si="376"/>
        <v>0.21380899352993951</v>
      </c>
      <c r="AI221" s="177">
        <f t="shared" si="377"/>
        <v>0.3</v>
      </c>
      <c r="AJ221" s="177">
        <f t="shared" si="378"/>
        <v>1.1036190476190477</v>
      </c>
      <c r="AL221" s="555">
        <f t="shared" si="379"/>
        <v>10.000000000000002</v>
      </c>
      <c r="AM221" s="469">
        <f t="shared" si="380"/>
        <v>181.3333333333334</v>
      </c>
      <c r="AO221">
        <f t="shared" si="381"/>
        <v>10.000000000000002</v>
      </c>
      <c r="AP221">
        <f t="shared" si="382"/>
        <v>181.3333333333334</v>
      </c>
      <c r="AR221" s="5">
        <f t="shared" si="343"/>
        <v>5.5147058823529393</v>
      </c>
      <c r="AS221" s="5">
        <f t="shared" si="335"/>
        <v>0.1875</v>
      </c>
      <c r="AT221" s="5">
        <f t="shared" si="336"/>
        <v>5.3272058823529393</v>
      </c>
      <c r="AU221" s="177">
        <f t="shared" si="337"/>
        <v>3.4000000000000009E-2</v>
      </c>
      <c r="CI221" s="571">
        <f t="shared" si="383"/>
        <v>-50</v>
      </c>
    </row>
    <row r="222" spans="5:88" x14ac:dyDescent="0.25">
      <c r="E222" s="174">
        <v>6</v>
      </c>
      <c r="F222" s="221">
        <f t="shared" si="384"/>
        <v>1.2E-2</v>
      </c>
      <c r="G222" s="221">
        <f t="shared" si="353"/>
        <v>6.0000000000000001E-3</v>
      </c>
      <c r="H222" s="221">
        <f t="shared" si="354"/>
        <v>0.192</v>
      </c>
      <c r="I222" s="221">
        <f t="shared" si="355"/>
        <v>9.6000000000000002E-2</v>
      </c>
      <c r="J222" s="551">
        <f t="shared" si="356"/>
        <v>48</v>
      </c>
      <c r="K222" s="451">
        <f t="shared" si="357"/>
        <v>19.584</v>
      </c>
      <c r="L222" s="451">
        <f t="shared" si="358"/>
        <v>67.584000000000003</v>
      </c>
      <c r="M222" s="451"/>
      <c r="N222" s="221">
        <f t="shared" si="359"/>
        <v>0.28977272727272724</v>
      </c>
      <c r="O222" s="176">
        <f t="shared" si="360"/>
        <v>6.259090909090907</v>
      </c>
      <c r="P222" s="176">
        <f t="shared" si="361"/>
        <v>3.129545454545454</v>
      </c>
      <c r="Q222" s="221">
        <f t="shared" si="362"/>
        <v>0.39119318181818169</v>
      </c>
      <c r="R222" s="221">
        <f t="shared" si="363"/>
        <v>0.39119318181818169</v>
      </c>
      <c r="S222" s="221">
        <f t="shared" si="364"/>
        <v>16</v>
      </c>
      <c r="T222" s="221">
        <f t="shared" si="365"/>
        <v>4.6013071895424841E-2</v>
      </c>
      <c r="U222" s="221">
        <f t="shared" si="366"/>
        <v>2.8758169934640525E-2</v>
      </c>
      <c r="V222" s="221">
        <f t="shared" si="367"/>
        <v>7.048571062411893E-2</v>
      </c>
      <c r="W222" s="201">
        <f t="shared" si="368"/>
        <v>350</v>
      </c>
      <c r="X222" s="451">
        <f t="shared" si="369"/>
        <v>350</v>
      </c>
      <c r="Z222" s="221">
        <f t="shared" si="370"/>
        <v>1.3246753246753247</v>
      </c>
      <c r="AA222" s="177">
        <f t="shared" si="371"/>
        <v>2.029220779220779</v>
      </c>
      <c r="AB222" s="177">
        <f t="shared" si="372"/>
        <v>0.37632821723730803</v>
      </c>
      <c r="AC222" s="177"/>
      <c r="AD222" s="177">
        <f t="shared" si="373"/>
        <v>0.4595588235294118</v>
      </c>
      <c r="AE222" s="555">
        <f t="shared" si="374"/>
        <v>217.60000000000008</v>
      </c>
      <c r="AF222" s="538">
        <f t="shared" si="375"/>
        <v>1.9301470588235291E-2</v>
      </c>
      <c r="AH222" s="177">
        <f t="shared" si="376"/>
        <v>0.23421601750764798</v>
      </c>
      <c r="AI222" s="177">
        <f t="shared" si="377"/>
        <v>0.3</v>
      </c>
      <c r="AJ222" s="177">
        <f t="shared" si="378"/>
        <v>1.1243428571428571</v>
      </c>
      <c r="AL222" s="555">
        <f t="shared" si="379"/>
        <v>12</v>
      </c>
      <c r="AM222" s="469">
        <f t="shared" si="380"/>
        <v>217.60000000000008</v>
      </c>
      <c r="AO222">
        <f t="shared" si="381"/>
        <v>12</v>
      </c>
      <c r="AP222">
        <f t="shared" si="382"/>
        <v>217.60000000000008</v>
      </c>
      <c r="AR222" s="5">
        <f t="shared" si="343"/>
        <v>4.595588235294116</v>
      </c>
      <c r="AS222" s="5">
        <f t="shared" si="335"/>
        <v>0.1875</v>
      </c>
      <c r="AT222" s="5">
        <f t="shared" si="336"/>
        <v>4.408088235294116</v>
      </c>
      <c r="AU222" s="177">
        <f t="shared" si="337"/>
        <v>4.0800000000000017E-2</v>
      </c>
      <c r="CI222" s="571">
        <f t="shared" si="383"/>
        <v>-50</v>
      </c>
    </row>
    <row r="223" spans="5:88" x14ac:dyDescent="0.25">
      <c r="E223" s="174">
        <v>7</v>
      </c>
      <c r="F223" s="221">
        <f t="shared" si="384"/>
        <v>1.4000000000000002E-2</v>
      </c>
      <c r="G223" s="221">
        <f t="shared" si="353"/>
        <v>7.000000000000001E-3</v>
      </c>
      <c r="H223" s="221">
        <f t="shared" si="354"/>
        <v>0.22400000000000003</v>
      </c>
      <c r="I223" s="221">
        <f t="shared" si="355"/>
        <v>0.11200000000000002</v>
      </c>
      <c r="J223" s="551">
        <f t="shared" si="356"/>
        <v>48</v>
      </c>
      <c r="K223" s="451">
        <f t="shared" si="357"/>
        <v>19.584</v>
      </c>
      <c r="L223" s="451">
        <f t="shared" si="358"/>
        <v>67.584000000000003</v>
      </c>
      <c r="M223" s="451"/>
      <c r="N223" s="221">
        <f t="shared" si="359"/>
        <v>0.28977272727272724</v>
      </c>
      <c r="O223" s="176">
        <f t="shared" si="360"/>
        <v>6.259090909090907</v>
      </c>
      <c r="P223" s="176">
        <f t="shared" si="361"/>
        <v>3.129545454545454</v>
      </c>
      <c r="Q223" s="221">
        <f t="shared" si="362"/>
        <v>0.39119318181818169</v>
      </c>
      <c r="R223" s="221">
        <f t="shared" si="363"/>
        <v>0.39119318181818169</v>
      </c>
      <c r="S223" s="221">
        <f t="shared" si="364"/>
        <v>16</v>
      </c>
      <c r="T223" s="221">
        <f t="shared" si="365"/>
        <v>5.3681917211328992E-2</v>
      </c>
      <c r="U223" s="221">
        <f t="shared" si="366"/>
        <v>3.3551198257080618E-2</v>
      </c>
      <c r="V223" s="221">
        <f t="shared" si="367"/>
        <v>8.2233329061472113E-2</v>
      </c>
      <c r="W223" s="201">
        <f t="shared" si="368"/>
        <v>350</v>
      </c>
      <c r="X223" s="451">
        <f t="shared" si="369"/>
        <v>350</v>
      </c>
      <c r="Z223" s="221">
        <f t="shared" si="370"/>
        <v>1.3246753246753247</v>
      </c>
      <c r="AA223" s="177">
        <f t="shared" si="371"/>
        <v>2.029220779220779</v>
      </c>
      <c r="AB223" s="177">
        <f t="shared" si="372"/>
        <v>0.37632821723730803</v>
      </c>
      <c r="AC223" s="177"/>
      <c r="AD223" s="177">
        <f t="shared" si="373"/>
        <v>0.4595588235294118</v>
      </c>
      <c r="AE223" s="555">
        <f t="shared" si="374"/>
        <v>253.86666666666676</v>
      </c>
      <c r="AF223" s="538">
        <f t="shared" si="375"/>
        <v>1.9301470588235291E-2</v>
      </c>
      <c r="AH223" s="177">
        <f t="shared" si="376"/>
        <v>0.25298221281347039</v>
      </c>
      <c r="AI223" s="177">
        <f t="shared" si="377"/>
        <v>0.3</v>
      </c>
      <c r="AJ223" s="177">
        <f t="shared" si="378"/>
        <v>1.1450666666666667</v>
      </c>
      <c r="AL223" s="555">
        <f t="shared" si="379"/>
        <v>14.000000000000002</v>
      </c>
      <c r="AM223" s="469">
        <f t="shared" si="380"/>
        <v>253.86666666666676</v>
      </c>
      <c r="AO223">
        <f t="shared" si="381"/>
        <v>14.000000000000002</v>
      </c>
      <c r="AP223">
        <f t="shared" si="382"/>
        <v>253.86666666666676</v>
      </c>
      <c r="AR223" s="5">
        <f t="shared" si="343"/>
        <v>3.9390756302520988</v>
      </c>
      <c r="AS223" s="5">
        <f t="shared" si="335"/>
        <v>0.1875</v>
      </c>
      <c r="AT223" s="5">
        <f t="shared" si="336"/>
        <v>3.7515756302520988</v>
      </c>
      <c r="AU223" s="177">
        <f t="shared" si="337"/>
        <v>4.7600000000000024E-2</v>
      </c>
      <c r="CI223" s="571">
        <f t="shared" si="383"/>
        <v>-50</v>
      </c>
    </row>
    <row r="224" spans="5:88" x14ac:dyDescent="0.25">
      <c r="E224" s="174">
        <v>8</v>
      </c>
      <c r="F224" s="221">
        <f t="shared" si="384"/>
        <v>1.6E-2</v>
      </c>
      <c r="G224" s="221">
        <f t="shared" si="353"/>
        <v>8.0000000000000002E-3</v>
      </c>
      <c r="H224" s="221">
        <f t="shared" si="354"/>
        <v>0.25600000000000001</v>
      </c>
      <c r="I224" s="221">
        <f t="shared" si="355"/>
        <v>0.128</v>
      </c>
      <c r="J224" s="551">
        <f t="shared" si="356"/>
        <v>48</v>
      </c>
      <c r="K224" s="451">
        <f t="shared" si="357"/>
        <v>19.584</v>
      </c>
      <c r="L224" s="451">
        <f t="shared" si="358"/>
        <v>67.584000000000003</v>
      </c>
      <c r="M224" s="451"/>
      <c r="N224" s="221">
        <f t="shared" si="359"/>
        <v>0.28977272727272724</v>
      </c>
      <c r="O224" s="176">
        <f t="shared" si="360"/>
        <v>6.259090909090907</v>
      </c>
      <c r="P224" s="176">
        <f t="shared" si="361"/>
        <v>3.129545454545454</v>
      </c>
      <c r="Q224" s="221">
        <f t="shared" si="362"/>
        <v>0.39119318181818169</v>
      </c>
      <c r="R224" s="221">
        <f t="shared" si="363"/>
        <v>0.39119318181818169</v>
      </c>
      <c r="S224" s="221">
        <f t="shared" si="364"/>
        <v>16</v>
      </c>
      <c r="T224" s="221">
        <f t="shared" si="365"/>
        <v>6.1350762527233121E-2</v>
      </c>
      <c r="U224" s="221">
        <f t="shared" si="366"/>
        <v>3.8344226579520697E-2</v>
      </c>
      <c r="V224" s="221">
        <f t="shared" si="367"/>
        <v>9.3980947498825254E-2</v>
      </c>
      <c r="W224" s="201">
        <f t="shared" si="368"/>
        <v>350</v>
      </c>
      <c r="X224" s="451">
        <f t="shared" si="369"/>
        <v>350</v>
      </c>
      <c r="Z224" s="221">
        <f t="shared" si="370"/>
        <v>1.3246753246753247</v>
      </c>
      <c r="AA224" s="177">
        <f t="shared" si="371"/>
        <v>2.029220779220779</v>
      </c>
      <c r="AB224" s="177">
        <f t="shared" si="372"/>
        <v>0.37632821723730803</v>
      </c>
      <c r="AC224" s="177"/>
      <c r="AD224" s="177">
        <f t="shared" si="373"/>
        <v>0.4595588235294118</v>
      </c>
      <c r="AE224" s="555">
        <f t="shared" si="374"/>
        <v>290.13333333333338</v>
      </c>
      <c r="AF224" s="538">
        <f t="shared" si="375"/>
        <v>1.9301470588235291E-2</v>
      </c>
      <c r="AH224" s="177">
        <f t="shared" si="376"/>
        <v>0.27044936151312532</v>
      </c>
      <c r="AI224" s="177">
        <f t="shared" si="377"/>
        <v>0.3</v>
      </c>
      <c r="AJ224" s="177">
        <f t="shared" si="378"/>
        <v>1.1657904761904763</v>
      </c>
      <c r="AL224" s="555">
        <f t="shared" si="379"/>
        <v>16</v>
      </c>
      <c r="AM224" s="469">
        <f t="shared" si="380"/>
        <v>290.13333333333338</v>
      </c>
      <c r="AO224">
        <f t="shared" si="381"/>
        <v>16</v>
      </c>
      <c r="AP224">
        <f t="shared" si="382"/>
        <v>290.13333333333338</v>
      </c>
      <c r="AR224" s="5">
        <f t="shared" si="343"/>
        <v>3.4466911764705879</v>
      </c>
      <c r="AS224" s="5">
        <f t="shared" si="335"/>
        <v>0.1875</v>
      </c>
      <c r="AT224" s="5">
        <f t="shared" si="336"/>
        <v>3.2591911764705879</v>
      </c>
      <c r="AU224" s="177">
        <f t="shared" si="337"/>
        <v>5.4400000000000004E-2</v>
      </c>
      <c r="CI224" s="571">
        <f t="shared" si="383"/>
        <v>-50</v>
      </c>
    </row>
    <row r="225" spans="5:87" x14ac:dyDescent="0.25">
      <c r="E225" s="174">
        <v>9</v>
      </c>
      <c r="F225" s="221">
        <f t="shared" si="384"/>
        <v>1.7999999999999999E-2</v>
      </c>
      <c r="G225" s="221">
        <f t="shared" si="353"/>
        <v>8.9999999999999993E-3</v>
      </c>
      <c r="H225" s="221">
        <f t="shared" si="354"/>
        <v>0.28799999999999998</v>
      </c>
      <c r="I225" s="221">
        <f t="shared" si="355"/>
        <v>0.14399999999999999</v>
      </c>
      <c r="J225" s="551">
        <f t="shared" si="356"/>
        <v>48</v>
      </c>
      <c r="K225" s="451">
        <f t="shared" si="357"/>
        <v>19.584</v>
      </c>
      <c r="L225" s="451">
        <f t="shared" si="358"/>
        <v>67.584000000000003</v>
      </c>
      <c r="M225" s="451"/>
      <c r="N225" s="221">
        <f t="shared" si="359"/>
        <v>0.28977272727272724</v>
      </c>
      <c r="O225" s="176">
        <f t="shared" si="360"/>
        <v>6.259090909090907</v>
      </c>
      <c r="P225" s="176">
        <f t="shared" si="361"/>
        <v>3.129545454545454</v>
      </c>
      <c r="Q225" s="221">
        <f t="shared" si="362"/>
        <v>0.39119318181818169</v>
      </c>
      <c r="R225" s="221">
        <f t="shared" si="363"/>
        <v>0.39119318181818169</v>
      </c>
      <c r="S225" s="221">
        <f t="shared" si="364"/>
        <v>16</v>
      </c>
      <c r="T225" s="221">
        <f t="shared" si="365"/>
        <v>6.9019607843137251E-2</v>
      </c>
      <c r="U225" s="221">
        <f t="shared" si="366"/>
        <v>4.3137254901960784E-2</v>
      </c>
      <c r="V225" s="221">
        <f t="shared" si="367"/>
        <v>0.10572856593617841</v>
      </c>
      <c r="W225" s="201">
        <f t="shared" si="368"/>
        <v>350</v>
      </c>
      <c r="X225" s="451">
        <f t="shared" si="369"/>
        <v>350</v>
      </c>
      <c r="Z225" s="221">
        <f t="shared" si="370"/>
        <v>1.3246753246753247</v>
      </c>
      <c r="AA225" s="177">
        <f t="shared" si="371"/>
        <v>2.029220779220779</v>
      </c>
      <c r="AB225" s="177">
        <f t="shared" si="372"/>
        <v>0.37632821723730803</v>
      </c>
      <c r="AC225" s="177"/>
      <c r="AD225" s="177">
        <f t="shared" si="373"/>
        <v>0.4595588235294118</v>
      </c>
      <c r="AE225" s="555">
        <f t="shared" si="374"/>
        <v>326.39999999999998</v>
      </c>
      <c r="AF225" s="538">
        <f t="shared" si="375"/>
        <v>1.9301470588235291E-2</v>
      </c>
      <c r="AH225" s="177">
        <f t="shared" si="376"/>
        <v>0.28685486624025447</v>
      </c>
      <c r="AI225" s="177">
        <f t="shared" si="377"/>
        <v>0.3</v>
      </c>
      <c r="AJ225" s="177">
        <f t="shared" si="378"/>
        <v>1.1865142857142856</v>
      </c>
      <c r="AL225" s="555">
        <f t="shared" si="379"/>
        <v>18</v>
      </c>
      <c r="AM225" s="469">
        <f t="shared" si="380"/>
        <v>326.39999999999998</v>
      </c>
      <c r="AO225">
        <f t="shared" si="381"/>
        <v>18</v>
      </c>
      <c r="AP225">
        <f t="shared" si="382"/>
        <v>326.39999999999998</v>
      </c>
      <c r="AR225" s="5">
        <f t="shared" si="343"/>
        <v>3.0637254901960786</v>
      </c>
      <c r="AS225" s="5">
        <f t="shared" si="335"/>
        <v>0.1875</v>
      </c>
      <c r="AT225" s="5">
        <f t="shared" si="336"/>
        <v>2.8762254901960786</v>
      </c>
      <c r="AU225" s="177">
        <f t="shared" si="337"/>
        <v>6.1199999999999997E-2</v>
      </c>
      <c r="CI225" s="571">
        <f t="shared" si="383"/>
        <v>-50</v>
      </c>
    </row>
    <row r="226" spans="5:87" x14ac:dyDescent="0.25">
      <c r="E226" s="174">
        <v>10</v>
      </c>
      <c r="F226" s="221">
        <f t="shared" si="384"/>
        <v>2.0000000000000004E-2</v>
      </c>
      <c r="G226" s="221">
        <f t="shared" si="353"/>
        <v>1.0000000000000002E-2</v>
      </c>
      <c r="H226" s="221">
        <f t="shared" si="354"/>
        <v>0.32000000000000006</v>
      </c>
      <c r="I226" s="221">
        <f t="shared" si="355"/>
        <v>0.16000000000000003</v>
      </c>
      <c r="J226" s="551">
        <f t="shared" si="356"/>
        <v>48</v>
      </c>
      <c r="K226" s="451">
        <f t="shared" si="357"/>
        <v>19.584</v>
      </c>
      <c r="L226" s="451">
        <f t="shared" si="358"/>
        <v>67.584000000000003</v>
      </c>
      <c r="M226" s="451"/>
      <c r="N226" s="221">
        <f t="shared" si="359"/>
        <v>0.28977272727272724</v>
      </c>
      <c r="O226" s="176">
        <f t="shared" si="360"/>
        <v>6.259090909090907</v>
      </c>
      <c r="P226" s="176">
        <f t="shared" si="361"/>
        <v>3.129545454545454</v>
      </c>
      <c r="Q226" s="221">
        <f t="shared" si="362"/>
        <v>0.39119318181818169</v>
      </c>
      <c r="R226" s="221">
        <f t="shared" si="363"/>
        <v>0.39119318181818169</v>
      </c>
      <c r="S226" s="221">
        <f t="shared" si="364"/>
        <v>16</v>
      </c>
      <c r="T226" s="221">
        <f t="shared" si="365"/>
        <v>7.6688453159041409E-2</v>
      </c>
      <c r="U226" s="221">
        <f t="shared" si="366"/>
        <v>4.7930283224400884E-2</v>
      </c>
      <c r="V226" s="221">
        <f t="shared" si="367"/>
        <v>0.11747618437353158</v>
      </c>
      <c r="W226" s="201">
        <f t="shared" si="368"/>
        <v>350</v>
      </c>
      <c r="X226" s="451">
        <f t="shared" si="369"/>
        <v>350</v>
      </c>
      <c r="Z226" s="221">
        <f t="shared" si="370"/>
        <v>1.3246753246753247</v>
      </c>
      <c r="AA226" s="177">
        <f t="shared" si="371"/>
        <v>2.029220779220779</v>
      </c>
      <c r="AB226" s="177">
        <f t="shared" si="372"/>
        <v>0.37632821723730803</v>
      </c>
      <c r="AC226" s="177"/>
      <c r="AD226" s="177">
        <f t="shared" si="373"/>
        <v>0.4595588235294118</v>
      </c>
      <c r="AE226" s="555">
        <f t="shared" si="374"/>
        <v>362.6666666666668</v>
      </c>
      <c r="AF226" s="538">
        <f t="shared" si="375"/>
        <v>1.9301470588235291E-2</v>
      </c>
      <c r="AH226" s="177">
        <f t="shared" si="376"/>
        <v>0.30237157840738182</v>
      </c>
      <c r="AI226" s="177">
        <f t="shared" si="377"/>
        <v>0.30237157840738182</v>
      </c>
      <c r="AJ226" s="177">
        <f t="shared" si="378"/>
        <v>1.2017567247462086</v>
      </c>
      <c r="AL226" s="555">
        <f t="shared" si="379"/>
        <v>20.000000000000004</v>
      </c>
      <c r="AM226" s="469">
        <f t="shared" si="380"/>
        <v>350</v>
      </c>
      <c r="AO226">
        <f t="shared" si="381"/>
        <v>20.000000000000004</v>
      </c>
      <c r="AP226">
        <f t="shared" si="382"/>
        <v>350</v>
      </c>
      <c r="AR226" s="5">
        <f t="shared" si="343"/>
        <v>2.8571428571428572</v>
      </c>
      <c r="AS226" s="5">
        <f t="shared" si="335"/>
        <v>0.18898223650461365</v>
      </c>
      <c r="AT226" s="5">
        <f t="shared" si="336"/>
        <v>2.6681606206382433</v>
      </c>
      <c r="AU226" s="177">
        <f t="shared" si="337"/>
        <v>6.6143782776614771E-2</v>
      </c>
      <c r="CI226" s="571">
        <f t="shared" si="383"/>
        <v>-50</v>
      </c>
    </row>
    <row r="227" spans="5:87" x14ac:dyDescent="0.25">
      <c r="E227" s="174">
        <v>11</v>
      </c>
      <c r="F227" s="221">
        <f t="shared" si="384"/>
        <v>2.2000000000000002E-2</v>
      </c>
      <c r="G227" s="221">
        <f t="shared" si="353"/>
        <v>1.1000000000000001E-2</v>
      </c>
      <c r="H227" s="221">
        <f t="shared" si="354"/>
        <v>0.35200000000000004</v>
      </c>
      <c r="I227" s="221">
        <f t="shared" si="355"/>
        <v>0.17600000000000002</v>
      </c>
      <c r="J227" s="551">
        <f t="shared" si="356"/>
        <v>48</v>
      </c>
      <c r="K227" s="451">
        <f t="shared" si="357"/>
        <v>19.584</v>
      </c>
      <c r="L227" s="451">
        <f t="shared" si="358"/>
        <v>67.584000000000003</v>
      </c>
      <c r="M227" s="451"/>
      <c r="N227" s="221">
        <f t="shared" si="359"/>
        <v>0.28977272727272724</v>
      </c>
      <c r="O227" s="176">
        <f t="shared" si="360"/>
        <v>6.259090909090907</v>
      </c>
      <c r="P227" s="176">
        <f t="shared" si="361"/>
        <v>3.129545454545454</v>
      </c>
      <c r="Q227" s="221">
        <f t="shared" si="362"/>
        <v>0.39119318181818169</v>
      </c>
      <c r="R227" s="221">
        <f t="shared" si="363"/>
        <v>0.39119318181818169</v>
      </c>
      <c r="S227" s="221">
        <f t="shared" si="364"/>
        <v>16</v>
      </c>
      <c r="T227" s="221">
        <f t="shared" si="365"/>
        <v>8.4357298474945538E-2</v>
      </c>
      <c r="U227" s="221">
        <f t="shared" si="366"/>
        <v>5.2723311546840963E-2</v>
      </c>
      <c r="V227" s="221">
        <f t="shared" si="367"/>
        <v>0.12922380281088472</v>
      </c>
      <c r="W227" s="201">
        <f t="shared" si="368"/>
        <v>350</v>
      </c>
      <c r="X227" s="451">
        <f t="shared" si="369"/>
        <v>350</v>
      </c>
      <c r="Z227" s="221">
        <f t="shared" si="370"/>
        <v>1.3246753246753247</v>
      </c>
      <c r="AA227" s="177">
        <f t="shared" si="371"/>
        <v>2.029220779220779</v>
      </c>
      <c r="AB227" s="177">
        <f t="shared" si="372"/>
        <v>0.37632821723730803</v>
      </c>
      <c r="AC227" s="177"/>
      <c r="AD227" s="177">
        <f t="shared" si="373"/>
        <v>0.4595588235294118</v>
      </c>
      <c r="AE227" s="555">
        <f t="shared" si="374"/>
        <v>398.93333333333351</v>
      </c>
      <c r="AF227" s="538">
        <f t="shared" si="375"/>
        <v>1.9301470588235291E-2</v>
      </c>
      <c r="AH227" s="177">
        <f t="shared" si="376"/>
        <v>0.31712998686883676</v>
      </c>
      <c r="AI227" s="177">
        <f t="shared" si="377"/>
        <v>0.31712998686883676</v>
      </c>
      <c r="AJ227" s="177">
        <f t="shared" si="378"/>
        <v>1.2126888791621013</v>
      </c>
      <c r="AL227" s="555">
        <f t="shared" si="379"/>
        <v>22.000000000000004</v>
      </c>
      <c r="AM227" s="469">
        <f t="shared" si="380"/>
        <v>350</v>
      </c>
      <c r="AO227">
        <f t="shared" si="381"/>
        <v>22.000000000000004</v>
      </c>
      <c r="AP227">
        <f t="shared" si="382"/>
        <v>350</v>
      </c>
      <c r="AR227" s="5">
        <f t="shared" si="343"/>
        <v>2.8571428571428572</v>
      </c>
      <c r="AS227" s="5">
        <f t="shared" si="335"/>
        <v>0.19820624179302299</v>
      </c>
      <c r="AT227" s="5">
        <f t="shared" si="336"/>
        <v>2.6589366153498344</v>
      </c>
      <c r="AU227" s="177">
        <f t="shared" si="337"/>
        <v>6.9372184627558037E-2</v>
      </c>
      <c r="CI227" s="571">
        <f t="shared" si="383"/>
        <v>-50</v>
      </c>
    </row>
    <row r="228" spans="5:87" x14ac:dyDescent="0.25">
      <c r="E228" s="174">
        <v>12</v>
      </c>
      <c r="F228" s="221">
        <f t="shared" si="384"/>
        <v>2.4E-2</v>
      </c>
      <c r="G228" s="221">
        <f t="shared" si="353"/>
        <v>1.2E-2</v>
      </c>
      <c r="H228" s="221">
        <f t="shared" si="354"/>
        <v>0.38400000000000001</v>
      </c>
      <c r="I228" s="221">
        <f t="shared" si="355"/>
        <v>0.192</v>
      </c>
      <c r="J228" s="551">
        <f t="shared" si="356"/>
        <v>48</v>
      </c>
      <c r="K228" s="451">
        <f t="shared" si="357"/>
        <v>19.584</v>
      </c>
      <c r="L228" s="451">
        <f t="shared" si="358"/>
        <v>67.584000000000003</v>
      </c>
      <c r="M228" s="451"/>
      <c r="N228" s="221">
        <f t="shared" si="359"/>
        <v>0.28977272727272724</v>
      </c>
      <c r="O228" s="176">
        <f t="shared" si="360"/>
        <v>6.259090909090907</v>
      </c>
      <c r="P228" s="176">
        <f t="shared" si="361"/>
        <v>3.129545454545454</v>
      </c>
      <c r="Q228" s="221">
        <f t="shared" si="362"/>
        <v>0.39119318181818169</v>
      </c>
      <c r="R228" s="221">
        <f t="shared" si="363"/>
        <v>0.39119318181818169</v>
      </c>
      <c r="S228" s="221">
        <f t="shared" si="364"/>
        <v>16</v>
      </c>
      <c r="T228" s="221">
        <f t="shared" si="365"/>
        <v>9.2026143790849682E-2</v>
      </c>
      <c r="U228" s="221">
        <f t="shared" si="366"/>
        <v>5.751633986928105E-2</v>
      </c>
      <c r="V228" s="221">
        <f t="shared" si="367"/>
        <v>0.14097142124823786</v>
      </c>
      <c r="W228" s="201">
        <f t="shared" si="368"/>
        <v>350</v>
      </c>
      <c r="X228" s="451">
        <f t="shared" si="369"/>
        <v>350</v>
      </c>
      <c r="Z228" s="221">
        <f t="shared" si="370"/>
        <v>1.3246753246753247</v>
      </c>
      <c r="AA228" s="177">
        <f t="shared" si="371"/>
        <v>2.029220779220779</v>
      </c>
      <c r="AB228" s="177">
        <f t="shared" si="372"/>
        <v>0.37632821723730803</v>
      </c>
      <c r="AC228" s="177"/>
      <c r="AD228" s="177">
        <f t="shared" si="373"/>
        <v>0.4595588235294118</v>
      </c>
      <c r="AE228" s="555">
        <f t="shared" si="374"/>
        <v>435.20000000000016</v>
      </c>
      <c r="AF228" s="538">
        <f t="shared" si="375"/>
        <v>1.9301470588235291E-2</v>
      </c>
      <c r="AH228" s="177">
        <f t="shared" si="376"/>
        <v>0.33123146848433005</v>
      </c>
      <c r="AI228" s="177">
        <f t="shared" si="377"/>
        <v>0.33123146848433005</v>
      </c>
      <c r="AJ228" s="177">
        <f t="shared" si="378"/>
        <v>1.2231344210995037</v>
      </c>
      <c r="AL228" s="555">
        <f t="shared" si="379"/>
        <v>24</v>
      </c>
      <c r="AM228" s="469">
        <f t="shared" si="380"/>
        <v>350</v>
      </c>
      <c r="AO228">
        <f t="shared" si="381"/>
        <v>24</v>
      </c>
      <c r="AP228">
        <f t="shared" si="382"/>
        <v>350</v>
      </c>
      <c r="AR228" s="5">
        <f t="shared" si="343"/>
        <v>2.8571428571428572</v>
      </c>
      <c r="AS228" s="5">
        <f t="shared" si="335"/>
        <v>0.20701966780270631</v>
      </c>
      <c r="AT228" s="5">
        <f t="shared" si="336"/>
        <v>2.6501231893401509</v>
      </c>
      <c r="AU228" s="177">
        <f t="shared" si="337"/>
        <v>7.2456883730947205E-2</v>
      </c>
      <c r="CI228" s="571">
        <f t="shared" si="383"/>
        <v>-50</v>
      </c>
    </row>
    <row r="229" spans="5:87" x14ac:dyDescent="0.25">
      <c r="E229" s="174">
        <v>13</v>
      </c>
      <c r="F229" s="221">
        <f t="shared" si="384"/>
        <v>2.6000000000000002E-2</v>
      </c>
      <c r="G229" s="221">
        <f t="shared" si="353"/>
        <v>1.3000000000000001E-2</v>
      </c>
      <c r="H229" s="221">
        <f t="shared" si="354"/>
        <v>0.41600000000000004</v>
      </c>
      <c r="I229" s="221">
        <f t="shared" si="355"/>
        <v>0.20800000000000002</v>
      </c>
      <c r="J229" s="551">
        <f t="shared" si="356"/>
        <v>48</v>
      </c>
      <c r="K229" s="451">
        <f t="shared" si="357"/>
        <v>19.584</v>
      </c>
      <c r="L229" s="451">
        <f t="shared" si="358"/>
        <v>67.584000000000003</v>
      </c>
      <c r="M229" s="451"/>
      <c r="N229" s="221">
        <f t="shared" si="359"/>
        <v>0.28977272727272724</v>
      </c>
      <c r="O229" s="176">
        <f t="shared" si="360"/>
        <v>6.259090909090907</v>
      </c>
      <c r="P229" s="176">
        <f t="shared" si="361"/>
        <v>3.129545454545454</v>
      </c>
      <c r="Q229" s="221">
        <f t="shared" si="362"/>
        <v>0.39119318181818169</v>
      </c>
      <c r="R229" s="221">
        <f t="shared" si="363"/>
        <v>0.39119318181818169</v>
      </c>
      <c r="S229" s="221">
        <f t="shared" si="364"/>
        <v>16</v>
      </c>
      <c r="T229" s="221">
        <f t="shared" si="365"/>
        <v>9.969498910675384E-2</v>
      </c>
      <c r="U229" s="221">
        <f t="shared" si="366"/>
        <v>6.230936819172115E-2</v>
      </c>
      <c r="V229" s="221">
        <f t="shared" si="367"/>
        <v>0.15271903968559106</v>
      </c>
      <c r="W229" s="201">
        <f t="shared" si="368"/>
        <v>350</v>
      </c>
      <c r="X229" s="451">
        <f t="shared" si="369"/>
        <v>350</v>
      </c>
      <c r="Z229" s="221">
        <f t="shared" si="370"/>
        <v>1.3246753246753247</v>
      </c>
      <c r="AA229" s="177">
        <f t="shared" si="371"/>
        <v>2.029220779220779</v>
      </c>
      <c r="AB229" s="177">
        <f t="shared" si="372"/>
        <v>0.37632821723730803</v>
      </c>
      <c r="AC229" s="177"/>
      <c r="AD229" s="177">
        <f t="shared" si="373"/>
        <v>0.4595588235294118</v>
      </c>
      <c r="AE229" s="555">
        <f t="shared" si="374"/>
        <v>471.46666666666681</v>
      </c>
      <c r="AF229" s="538">
        <f t="shared" si="375"/>
        <v>1.9301470588235291E-2</v>
      </c>
      <c r="AH229" s="177">
        <f t="shared" si="376"/>
        <v>0.34475664294853386</v>
      </c>
      <c r="AI229" s="177">
        <f t="shared" si="377"/>
        <v>0.34475664294853386</v>
      </c>
      <c r="AJ229" s="177">
        <f t="shared" si="378"/>
        <v>1.2331530688507657</v>
      </c>
      <c r="AL229" s="555">
        <f t="shared" si="379"/>
        <v>26.000000000000004</v>
      </c>
      <c r="AM229" s="469">
        <f t="shared" si="380"/>
        <v>350</v>
      </c>
      <c r="AO229">
        <f t="shared" si="381"/>
        <v>26.000000000000004</v>
      </c>
      <c r="AP229">
        <f t="shared" si="382"/>
        <v>350</v>
      </c>
      <c r="AR229" s="5">
        <f t="shared" si="343"/>
        <v>2.8571428571428572</v>
      </c>
      <c r="AS229" s="5">
        <f t="shared" si="335"/>
        <v>0.21547290184283366</v>
      </c>
      <c r="AT229" s="5">
        <f t="shared" si="336"/>
        <v>2.6416699553000234</v>
      </c>
      <c r="AU229" s="177">
        <f t="shared" si="337"/>
        <v>7.5415515644991785E-2</v>
      </c>
      <c r="CI229" s="571">
        <f t="shared" si="383"/>
        <v>-50</v>
      </c>
    </row>
    <row r="230" spans="5:87" x14ac:dyDescent="0.25">
      <c r="E230" s="174">
        <v>14</v>
      </c>
      <c r="F230" s="221">
        <f t="shared" si="384"/>
        <v>2.8000000000000004E-2</v>
      </c>
      <c r="G230" s="221">
        <f t="shared" si="353"/>
        <v>1.4000000000000002E-2</v>
      </c>
      <c r="H230" s="221">
        <f t="shared" si="354"/>
        <v>0.44800000000000006</v>
      </c>
      <c r="I230" s="221">
        <f t="shared" si="355"/>
        <v>0.22400000000000003</v>
      </c>
      <c r="J230" s="551">
        <f t="shared" si="356"/>
        <v>48</v>
      </c>
      <c r="K230" s="451">
        <f t="shared" si="357"/>
        <v>19.584</v>
      </c>
      <c r="L230" s="451">
        <f t="shared" si="358"/>
        <v>67.584000000000003</v>
      </c>
      <c r="M230" s="451"/>
      <c r="N230" s="221">
        <f t="shared" si="359"/>
        <v>0.28977272727272724</v>
      </c>
      <c r="O230" s="176">
        <f t="shared" si="360"/>
        <v>6.259090909090907</v>
      </c>
      <c r="P230" s="176">
        <f t="shared" si="361"/>
        <v>3.129545454545454</v>
      </c>
      <c r="Q230" s="221">
        <f t="shared" si="362"/>
        <v>0.39119318181818169</v>
      </c>
      <c r="R230" s="221">
        <f t="shared" si="363"/>
        <v>0.39119318181818169</v>
      </c>
      <c r="S230" s="221">
        <f t="shared" si="364"/>
        <v>16</v>
      </c>
      <c r="T230" s="221">
        <f t="shared" si="365"/>
        <v>0.10736383442265798</v>
      </c>
      <c r="U230" s="221">
        <f t="shared" si="366"/>
        <v>6.7102396514161236E-2</v>
      </c>
      <c r="V230" s="221">
        <f t="shared" si="367"/>
        <v>0.16446665812294423</v>
      </c>
      <c r="W230" s="201">
        <f t="shared" si="368"/>
        <v>350</v>
      </c>
      <c r="X230" s="451">
        <f t="shared" si="369"/>
        <v>350</v>
      </c>
      <c r="Z230" s="221">
        <f t="shared" si="370"/>
        <v>1.3246753246753247</v>
      </c>
      <c r="AA230" s="177">
        <f t="shared" si="371"/>
        <v>2.029220779220779</v>
      </c>
      <c r="AB230" s="177">
        <f t="shared" si="372"/>
        <v>0.37632821723730803</v>
      </c>
      <c r="AC230" s="177"/>
      <c r="AD230" s="177">
        <f t="shared" si="373"/>
        <v>0.4595588235294118</v>
      </c>
      <c r="AE230" s="555">
        <f t="shared" si="374"/>
        <v>507.73333333333352</v>
      </c>
      <c r="AF230" s="538">
        <f t="shared" si="375"/>
        <v>1.9301470588235291E-2</v>
      </c>
      <c r="AH230" s="177">
        <f t="shared" si="376"/>
        <v>0.35777087639996641</v>
      </c>
      <c r="AI230" s="177">
        <f t="shared" si="377"/>
        <v>0.35777087639996641</v>
      </c>
      <c r="AJ230" s="177">
        <f t="shared" si="378"/>
        <v>1.2427932417777527</v>
      </c>
      <c r="AL230" s="555">
        <f t="shared" si="379"/>
        <v>28.000000000000004</v>
      </c>
      <c r="AM230" s="469">
        <f t="shared" si="380"/>
        <v>350</v>
      </c>
      <c r="AO230">
        <f t="shared" si="381"/>
        <v>28.000000000000004</v>
      </c>
      <c r="AP230">
        <f t="shared" si="382"/>
        <v>350</v>
      </c>
      <c r="AR230" s="5">
        <f t="shared" si="343"/>
        <v>2.8571428571428572</v>
      </c>
      <c r="AS230" s="5">
        <f t="shared" si="335"/>
        <v>0.22360679774997902</v>
      </c>
      <c r="AT230" s="5">
        <f t="shared" si="336"/>
        <v>2.633536059392878</v>
      </c>
      <c r="AU230" s="177">
        <f t="shared" si="337"/>
        <v>7.8262379212492655E-2</v>
      </c>
      <c r="CI230" s="571">
        <f t="shared" si="383"/>
        <v>-50</v>
      </c>
    </row>
    <row r="231" spans="5:87" x14ac:dyDescent="0.25">
      <c r="E231" s="174">
        <v>15</v>
      </c>
      <c r="F231" s="221">
        <f t="shared" si="384"/>
        <v>0.03</v>
      </c>
      <c r="G231" s="221">
        <f t="shared" si="353"/>
        <v>1.4999999999999999E-2</v>
      </c>
      <c r="H231" s="221">
        <f t="shared" si="354"/>
        <v>0.48</v>
      </c>
      <c r="I231" s="221">
        <f t="shared" si="355"/>
        <v>0.24</v>
      </c>
      <c r="J231" s="551">
        <f t="shared" si="356"/>
        <v>48</v>
      </c>
      <c r="K231" s="451">
        <f t="shared" si="357"/>
        <v>19.584</v>
      </c>
      <c r="L231" s="451">
        <f t="shared" si="358"/>
        <v>67.584000000000003</v>
      </c>
      <c r="M231" s="451"/>
      <c r="N231" s="221">
        <f t="shared" si="359"/>
        <v>0.28977272727272724</v>
      </c>
      <c r="O231" s="176">
        <f t="shared" si="360"/>
        <v>6.259090909090907</v>
      </c>
      <c r="P231" s="176">
        <f t="shared" si="361"/>
        <v>3.129545454545454</v>
      </c>
      <c r="Q231" s="221">
        <f t="shared" si="362"/>
        <v>0.39119318181818169</v>
      </c>
      <c r="R231" s="221">
        <f t="shared" si="363"/>
        <v>0.39119318181818169</v>
      </c>
      <c r="S231" s="221">
        <f t="shared" si="364"/>
        <v>16</v>
      </c>
      <c r="T231" s="221">
        <f t="shared" si="365"/>
        <v>0.1150326797385621</v>
      </c>
      <c r="U231" s="221">
        <f t="shared" si="366"/>
        <v>7.1895424836601315E-2</v>
      </c>
      <c r="V231" s="221">
        <f t="shared" si="367"/>
        <v>0.17621427656029734</v>
      </c>
      <c r="W231" s="201">
        <f t="shared" si="368"/>
        <v>350</v>
      </c>
      <c r="X231" s="451">
        <f t="shared" si="369"/>
        <v>350</v>
      </c>
      <c r="Z231" s="221">
        <f t="shared" si="370"/>
        <v>1.3246753246753247</v>
      </c>
      <c r="AA231" s="177">
        <f t="shared" si="371"/>
        <v>2.029220779220779</v>
      </c>
      <c r="AB231" s="177">
        <f t="shared" si="372"/>
        <v>0.37632821723730803</v>
      </c>
      <c r="AC231" s="177"/>
      <c r="AD231" s="177">
        <f t="shared" si="373"/>
        <v>0.4595588235294118</v>
      </c>
      <c r="AE231" s="555">
        <f t="shared" si="374"/>
        <v>544.00000000000011</v>
      </c>
      <c r="AF231" s="538">
        <f t="shared" si="375"/>
        <v>1.9301470588235291E-2</v>
      </c>
      <c r="AH231" s="177">
        <f t="shared" si="376"/>
        <v>0.37032803990902058</v>
      </c>
      <c r="AI231" s="177">
        <f t="shared" si="377"/>
        <v>0.37032803990902058</v>
      </c>
      <c r="AJ231" s="177">
        <f t="shared" si="378"/>
        <v>1.2520948443770523</v>
      </c>
      <c r="AL231" s="555">
        <f t="shared" si="379"/>
        <v>30</v>
      </c>
      <c r="AM231" s="469">
        <f t="shared" si="380"/>
        <v>350</v>
      </c>
      <c r="AO231">
        <f t="shared" si="381"/>
        <v>30</v>
      </c>
      <c r="AP231">
        <f t="shared" si="382"/>
        <v>350</v>
      </c>
      <c r="AR231" s="5">
        <f t="shared" si="343"/>
        <v>2.8571428571428572</v>
      </c>
      <c r="AS231" s="5">
        <f t="shared" si="335"/>
        <v>0.23145502494313788</v>
      </c>
      <c r="AT231" s="5">
        <f t="shared" si="336"/>
        <v>2.6256878321997195</v>
      </c>
      <c r="AU231" s="177">
        <f t="shared" si="337"/>
        <v>8.100925873009826E-2</v>
      </c>
      <c r="CI231" s="571">
        <f t="shared" si="383"/>
        <v>-50</v>
      </c>
    </row>
    <row r="232" spans="5:87" x14ac:dyDescent="0.25">
      <c r="E232" s="174">
        <v>16</v>
      </c>
      <c r="F232" s="221">
        <f t="shared" si="384"/>
        <v>3.2000000000000001E-2</v>
      </c>
      <c r="G232" s="221">
        <f t="shared" si="353"/>
        <v>1.6E-2</v>
      </c>
      <c r="H232" s="221">
        <f t="shared" si="354"/>
        <v>0.51200000000000001</v>
      </c>
      <c r="I232" s="221">
        <f t="shared" si="355"/>
        <v>0.25600000000000001</v>
      </c>
      <c r="J232" s="551">
        <f t="shared" si="356"/>
        <v>48</v>
      </c>
      <c r="K232" s="451">
        <f t="shared" si="357"/>
        <v>19.584</v>
      </c>
      <c r="L232" s="451">
        <f t="shared" si="358"/>
        <v>67.584000000000003</v>
      </c>
      <c r="M232" s="451"/>
      <c r="N232" s="221">
        <f t="shared" si="359"/>
        <v>0.28977272727272724</v>
      </c>
      <c r="O232" s="176">
        <f t="shared" si="360"/>
        <v>6.259090909090907</v>
      </c>
      <c r="P232" s="176">
        <f t="shared" si="361"/>
        <v>3.129545454545454</v>
      </c>
      <c r="Q232" s="221">
        <f t="shared" si="362"/>
        <v>0.39119318181818169</v>
      </c>
      <c r="R232" s="221">
        <f t="shared" si="363"/>
        <v>0.39119318181818169</v>
      </c>
      <c r="S232" s="221">
        <f t="shared" si="364"/>
        <v>16</v>
      </c>
      <c r="T232" s="221">
        <f t="shared" si="365"/>
        <v>0.12270152505446624</v>
      </c>
      <c r="U232" s="221">
        <f t="shared" si="366"/>
        <v>7.6688453159041395E-2</v>
      </c>
      <c r="V232" s="221">
        <f t="shared" si="367"/>
        <v>0.18796189499765051</v>
      </c>
      <c r="W232" s="201">
        <f t="shared" si="368"/>
        <v>350</v>
      </c>
      <c r="X232" s="451">
        <f t="shared" si="369"/>
        <v>350</v>
      </c>
      <c r="Z232" s="221">
        <f t="shared" si="370"/>
        <v>1.3246753246753247</v>
      </c>
      <c r="AA232" s="177">
        <f t="shared" si="371"/>
        <v>2.029220779220779</v>
      </c>
      <c r="AB232" s="177">
        <f t="shared" si="372"/>
        <v>0.37632821723730803</v>
      </c>
      <c r="AC232" s="177"/>
      <c r="AD232" s="177">
        <f t="shared" si="373"/>
        <v>0.4595588235294118</v>
      </c>
      <c r="AE232" s="555">
        <f t="shared" si="374"/>
        <v>580.26666666666677</v>
      </c>
      <c r="AF232" s="538">
        <f t="shared" si="375"/>
        <v>1.9301470588235291E-2</v>
      </c>
      <c r="AH232" s="177">
        <f t="shared" si="376"/>
        <v>0.38247315498700596</v>
      </c>
      <c r="AI232" s="177">
        <f t="shared" si="377"/>
        <v>0.38247315498700596</v>
      </c>
      <c r="AJ232" s="177">
        <f t="shared" si="378"/>
        <v>1.2610912259163007</v>
      </c>
      <c r="AL232" s="555">
        <f t="shared" si="379"/>
        <v>32</v>
      </c>
      <c r="AM232" s="469">
        <f t="shared" si="380"/>
        <v>350</v>
      </c>
      <c r="AO232">
        <f t="shared" si="381"/>
        <v>32</v>
      </c>
      <c r="AP232">
        <f t="shared" si="382"/>
        <v>350</v>
      </c>
      <c r="AR232" s="5">
        <f t="shared" si="343"/>
        <v>2.8571428571428572</v>
      </c>
      <c r="AS232" s="5">
        <f t="shared" si="335"/>
        <v>0.23904572186687872</v>
      </c>
      <c r="AT232" s="5">
        <f t="shared" si="336"/>
        <v>2.6180971352759785</v>
      </c>
      <c r="AU232" s="177">
        <f t="shared" si="337"/>
        <v>8.3666002653407553E-2</v>
      </c>
      <c r="CI232" s="571">
        <f t="shared" si="383"/>
        <v>-50</v>
      </c>
    </row>
    <row r="233" spans="5:87" x14ac:dyDescent="0.25">
      <c r="E233" s="174">
        <v>17</v>
      </c>
      <c r="F233" s="221">
        <f t="shared" si="384"/>
        <v>3.4000000000000002E-2</v>
      </c>
      <c r="G233" s="221">
        <f t="shared" si="353"/>
        <v>1.7000000000000001E-2</v>
      </c>
      <c r="H233" s="221">
        <f t="shared" si="354"/>
        <v>0.54400000000000004</v>
      </c>
      <c r="I233" s="221">
        <f t="shared" si="355"/>
        <v>0.27200000000000002</v>
      </c>
      <c r="J233" s="551">
        <f t="shared" si="356"/>
        <v>48</v>
      </c>
      <c r="K233" s="451">
        <f t="shared" si="357"/>
        <v>19.584</v>
      </c>
      <c r="L233" s="451">
        <f t="shared" si="358"/>
        <v>67.584000000000003</v>
      </c>
      <c r="M233" s="451"/>
      <c r="N233" s="221">
        <f t="shared" si="359"/>
        <v>0.28977272727272724</v>
      </c>
      <c r="O233" s="176">
        <f t="shared" si="360"/>
        <v>6.259090909090907</v>
      </c>
      <c r="P233" s="176">
        <f t="shared" si="361"/>
        <v>3.129545454545454</v>
      </c>
      <c r="Q233" s="221">
        <f t="shared" si="362"/>
        <v>0.39119318181818169</v>
      </c>
      <c r="R233" s="221">
        <f t="shared" si="363"/>
        <v>0.39119318181818169</v>
      </c>
      <c r="S233" s="221">
        <f t="shared" si="364"/>
        <v>16</v>
      </c>
      <c r="T233" s="221">
        <f t="shared" si="365"/>
        <v>0.13037037037037039</v>
      </c>
      <c r="U233" s="221">
        <f t="shared" si="366"/>
        <v>8.1481481481481502E-2</v>
      </c>
      <c r="V233" s="221">
        <f t="shared" si="367"/>
        <v>0.19970951343500368</v>
      </c>
      <c r="W233" s="201">
        <f t="shared" si="368"/>
        <v>350</v>
      </c>
      <c r="X233" s="451">
        <f t="shared" si="369"/>
        <v>350</v>
      </c>
      <c r="Z233" s="221">
        <f t="shared" si="370"/>
        <v>1.3246753246753247</v>
      </c>
      <c r="AA233" s="177">
        <f t="shared" si="371"/>
        <v>2.029220779220779</v>
      </c>
      <c r="AB233" s="177">
        <f t="shared" si="372"/>
        <v>0.37632821723730803</v>
      </c>
      <c r="AC233" s="177"/>
      <c r="AD233" s="177">
        <f t="shared" si="373"/>
        <v>0.4595588235294118</v>
      </c>
      <c r="AE233" s="555">
        <f t="shared" si="374"/>
        <v>616.53333333333342</v>
      </c>
      <c r="AF233" s="538">
        <f t="shared" si="375"/>
        <v>1.9301470588235291E-2</v>
      </c>
      <c r="AH233" s="177">
        <f t="shared" si="376"/>
        <v>0.39424430424366491</v>
      </c>
      <c r="AI233" s="177">
        <f t="shared" si="377"/>
        <v>0.39424430424366491</v>
      </c>
      <c r="AJ233" s="177">
        <f t="shared" si="378"/>
        <v>1.2698105957360482</v>
      </c>
      <c r="AL233" s="555">
        <f t="shared" si="379"/>
        <v>34</v>
      </c>
      <c r="AM233" s="469">
        <f t="shared" si="380"/>
        <v>350</v>
      </c>
      <c r="AO233">
        <f t="shared" si="381"/>
        <v>34</v>
      </c>
      <c r="AP233">
        <f t="shared" si="382"/>
        <v>350</v>
      </c>
      <c r="AR233" s="5">
        <f t="shared" si="343"/>
        <v>2.8571428571428572</v>
      </c>
      <c r="AS233" s="5">
        <f t="shared" si="335"/>
        <v>0.24640269015229055</v>
      </c>
      <c r="AT233" s="5">
        <f t="shared" si="336"/>
        <v>2.6107401669905665</v>
      </c>
      <c r="AU233" s="177">
        <f t="shared" si="337"/>
        <v>8.6240941553301684E-2</v>
      </c>
      <c r="CI233" s="571">
        <f t="shared" si="383"/>
        <v>-50</v>
      </c>
    </row>
    <row r="234" spans="5:87" x14ac:dyDescent="0.25">
      <c r="E234" s="174">
        <v>18</v>
      </c>
      <c r="F234" s="221">
        <f t="shared" si="384"/>
        <v>3.5999999999999997E-2</v>
      </c>
      <c r="G234" s="221">
        <f t="shared" si="353"/>
        <v>1.7999999999999999E-2</v>
      </c>
      <c r="H234" s="221">
        <f t="shared" si="354"/>
        <v>0.57599999999999996</v>
      </c>
      <c r="I234" s="221">
        <f t="shared" si="355"/>
        <v>0.28799999999999998</v>
      </c>
      <c r="J234" s="551">
        <f t="shared" si="356"/>
        <v>48</v>
      </c>
      <c r="K234" s="451">
        <f t="shared" si="357"/>
        <v>19.584</v>
      </c>
      <c r="L234" s="451">
        <f t="shared" si="358"/>
        <v>67.584000000000003</v>
      </c>
      <c r="M234" s="451"/>
      <c r="N234" s="221">
        <f t="shared" si="359"/>
        <v>0.28977272727272724</v>
      </c>
      <c r="O234" s="176">
        <f t="shared" si="360"/>
        <v>6.259090909090907</v>
      </c>
      <c r="P234" s="176">
        <f t="shared" si="361"/>
        <v>3.129545454545454</v>
      </c>
      <c r="Q234" s="221">
        <f t="shared" si="362"/>
        <v>0.39119318181818169</v>
      </c>
      <c r="R234" s="221">
        <f t="shared" si="363"/>
        <v>0.39119318181818169</v>
      </c>
      <c r="S234" s="221">
        <f t="shared" si="364"/>
        <v>16</v>
      </c>
      <c r="T234" s="221">
        <f t="shared" si="365"/>
        <v>0.1380392156862745</v>
      </c>
      <c r="U234" s="221">
        <f t="shared" si="366"/>
        <v>8.6274509803921567E-2</v>
      </c>
      <c r="V234" s="221">
        <f t="shared" si="367"/>
        <v>0.21145713187235682</v>
      </c>
      <c r="W234" s="201">
        <f t="shared" si="368"/>
        <v>350</v>
      </c>
      <c r="X234" s="451">
        <f t="shared" si="369"/>
        <v>350</v>
      </c>
      <c r="Z234" s="221">
        <f t="shared" si="370"/>
        <v>1.3246753246753247</v>
      </c>
      <c r="AA234" s="177">
        <f t="shared" si="371"/>
        <v>2.029220779220779</v>
      </c>
      <c r="AB234" s="177">
        <f t="shared" si="372"/>
        <v>0.37632821723730803</v>
      </c>
      <c r="AC234" s="177"/>
      <c r="AD234" s="177">
        <f t="shared" si="373"/>
        <v>0.4595588235294118</v>
      </c>
      <c r="AE234" s="555">
        <f t="shared" si="374"/>
        <v>652.79999999999995</v>
      </c>
      <c r="AF234" s="538">
        <f t="shared" si="375"/>
        <v>1.9301470588235291E-2</v>
      </c>
      <c r="AH234" s="177">
        <f t="shared" si="376"/>
        <v>0.4056740422696879</v>
      </c>
      <c r="AI234" s="177">
        <f t="shared" si="377"/>
        <v>0.4056740422696879</v>
      </c>
      <c r="AJ234" s="177">
        <f t="shared" si="378"/>
        <v>1.278277068347917</v>
      </c>
      <c r="AL234" s="555">
        <f t="shared" si="379"/>
        <v>36</v>
      </c>
      <c r="AM234" s="469">
        <f t="shared" si="380"/>
        <v>350</v>
      </c>
      <c r="AO234">
        <f t="shared" si="381"/>
        <v>36</v>
      </c>
      <c r="AP234">
        <f t="shared" si="382"/>
        <v>350</v>
      </c>
      <c r="AR234" s="5">
        <f t="shared" si="343"/>
        <v>2.8571428571428572</v>
      </c>
      <c r="AS234" s="5">
        <f t="shared" si="335"/>
        <v>0.25354627641855498</v>
      </c>
      <c r="AT234" s="5">
        <f t="shared" si="336"/>
        <v>2.603596580724302</v>
      </c>
      <c r="AU234" s="177">
        <f t="shared" si="337"/>
        <v>8.8741196746494236E-2</v>
      </c>
      <c r="CI234" s="571">
        <f t="shared" si="383"/>
        <v>-50</v>
      </c>
    </row>
    <row r="235" spans="5:87" x14ac:dyDescent="0.25">
      <c r="E235" s="174">
        <v>19</v>
      </c>
      <c r="F235" s="221">
        <f t="shared" si="384"/>
        <v>3.8000000000000006E-2</v>
      </c>
      <c r="G235" s="221">
        <f t="shared" si="353"/>
        <v>1.9000000000000003E-2</v>
      </c>
      <c r="H235" s="221">
        <f t="shared" si="354"/>
        <v>0.6080000000000001</v>
      </c>
      <c r="I235" s="221">
        <f t="shared" si="355"/>
        <v>0.30400000000000005</v>
      </c>
      <c r="J235" s="551">
        <f t="shared" si="356"/>
        <v>48</v>
      </c>
      <c r="K235" s="451">
        <f t="shared" si="357"/>
        <v>19.584</v>
      </c>
      <c r="L235" s="451">
        <f t="shared" si="358"/>
        <v>67.584000000000003</v>
      </c>
      <c r="M235" s="451"/>
      <c r="N235" s="221">
        <f t="shared" si="359"/>
        <v>0.28977272727272724</v>
      </c>
      <c r="O235" s="176">
        <f t="shared" si="360"/>
        <v>6.259090909090907</v>
      </c>
      <c r="P235" s="176">
        <f t="shared" si="361"/>
        <v>3.129545454545454</v>
      </c>
      <c r="Q235" s="221">
        <f t="shared" si="362"/>
        <v>0.39119318181818169</v>
      </c>
      <c r="R235" s="221">
        <f t="shared" si="363"/>
        <v>0.39119318181818169</v>
      </c>
      <c r="S235" s="221">
        <f t="shared" si="364"/>
        <v>16</v>
      </c>
      <c r="T235" s="221">
        <f t="shared" si="365"/>
        <v>0.14570806100217867</v>
      </c>
      <c r="U235" s="221">
        <f t="shared" si="366"/>
        <v>9.1067538126361688E-2</v>
      </c>
      <c r="V235" s="221">
        <f t="shared" si="367"/>
        <v>0.22320475030970999</v>
      </c>
      <c r="W235" s="201">
        <f t="shared" si="368"/>
        <v>350</v>
      </c>
      <c r="X235" s="451">
        <f t="shared" si="369"/>
        <v>350</v>
      </c>
      <c r="Z235" s="221">
        <f t="shared" si="370"/>
        <v>1.3246753246753247</v>
      </c>
      <c r="AA235" s="177">
        <f t="shared" si="371"/>
        <v>2.029220779220779</v>
      </c>
      <c r="AB235" s="177">
        <f t="shared" si="372"/>
        <v>0.37632821723730803</v>
      </c>
      <c r="AC235" s="177"/>
      <c r="AD235" s="177">
        <f t="shared" si="373"/>
        <v>0.4595588235294118</v>
      </c>
      <c r="AE235" s="555">
        <f t="shared" si="374"/>
        <v>689.06666666666695</v>
      </c>
      <c r="AF235" s="538">
        <f t="shared" si="375"/>
        <v>1.9301470588235291E-2</v>
      </c>
      <c r="AH235" s="177">
        <f t="shared" si="376"/>
        <v>0.41679045780138219</v>
      </c>
      <c r="AI235" s="177">
        <f t="shared" si="377"/>
        <v>0.41679045780138219</v>
      </c>
      <c r="AJ235" s="177">
        <f t="shared" si="378"/>
        <v>1.286511450223246</v>
      </c>
      <c r="AL235" s="555">
        <f t="shared" si="379"/>
        <v>38.000000000000007</v>
      </c>
      <c r="AM235" s="469">
        <f t="shared" si="380"/>
        <v>350</v>
      </c>
      <c r="AO235">
        <f t="shared" si="381"/>
        <v>38.000000000000007</v>
      </c>
      <c r="AP235">
        <f t="shared" si="382"/>
        <v>350</v>
      </c>
      <c r="AR235" s="5">
        <f t="shared" si="343"/>
        <v>2.8571428571428572</v>
      </c>
      <c r="AS235" s="5">
        <f t="shared" si="335"/>
        <v>0.26049403612586386</v>
      </c>
      <c r="AT235" s="5">
        <f t="shared" si="336"/>
        <v>2.5966488210169931</v>
      </c>
      <c r="AU235" s="177">
        <f t="shared" si="337"/>
        <v>9.1172912644052348E-2</v>
      </c>
      <c r="CI235" s="571">
        <f t="shared" si="383"/>
        <v>-50</v>
      </c>
    </row>
    <row r="236" spans="5:87" x14ac:dyDescent="0.25">
      <c r="E236" s="174">
        <v>20</v>
      </c>
      <c r="F236" s="221">
        <f t="shared" si="384"/>
        <v>4.0000000000000008E-2</v>
      </c>
      <c r="G236" s="221">
        <f t="shared" si="353"/>
        <v>2.0000000000000004E-2</v>
      </c>
      <c r="H236" s="221">
        <f t="shared" si="354"/>
        <v>0.64000000000000012</v>
      </c>
      <c r="I236" s="221">
        <f t="shared" si="355"/>
        <v>0.32000000000000006</v>
      </c>
      <c r="J236" s="551">
        <f t="shared" si="356"/>
        <v>48</v>
      </c>
      <c r="K236" s="451">
        <f t="shared" si="357"/>
        <v>19.584</v>
      </c>
      <c r="L236" s="451">
        <f t="shared" si="358"/>
        <v>67.584000000000003</v>
      </c>
      <c r="M236" s="451"/>
      <c r="N236" s="221">
        <f t="shared" si="359"/>
        <v>0.28977272727272724</v>
      </c>
      <c r="O236" s="176">
        <f t="shared" si="360"/>
        <v>6.259090909090907</v>
      </c>
      <c r="P236" s="176">
        <f t="shared" si="361"/>
        <v>3.129545454545454</v>
      </c>
      <c r="Q236" s="221">
        <f t="shared" si="362"/>
        <v>0.39119318181818169</v>
      </c>
      <c r="R236" s="221">
        <f t="shared" si="363"/>
        <v>0.39119318181818169</v>
      </c>
      <c r="S236" s="221">
        <f t="shared" si="364"/>
        <v>16</v>
      </c>
      <c r="T236" s="221">
        <f t="shared" si="365"/>
        <v>0.15337690631808282</v>
      </c>
      <c r="U236" s="221">
        <f t="shared" si="366"/>
        <v>9.5860566448801768E-2</v>
      </c>
      <c r="V236" s="221">
        <f t="shared" si="367"/>
        <v>0.23495236874706316</v>
      </c>
      <c r="W236" s="201">
        <f t="shared" si="368"/>
        <v>350</v>
      </c>
      <c r="X236" s="451">
        <f t="shared" si="369"/>
        <v>350</v>
      </c>
      <c r="Z236" s="221">
        <f t="shared" si="370"/>
        <v>1.3246753246753247</v>
      </c>
      <c r="AA236" s="177">
        <f t="shared" si="371"/>
        <v>2.029220779220779</v>
      </c>
      <c r="AB236" s="177">
        <f t="shared" si="372"/>
        <v>0.37632821723730803</v>
      </c>
      <c r="AC236" s="177"/>
      <c r="AD236" s="177">
        <f t="shared" si="373"/>
        <v>0.4595588235294118</v>
      </c>
      <c r="AE236" s="555">
        <f t="shared" si="374"/>
        <v>725.3333333333336</v>
      </c>
      <c r="AF236" s="538">
        <f t="shared" si="375"/>
        <v>1.9301470588235291E-2</v>
      </c>
      <c r="AH236" s="177">
        <f t="shared" si="376"/>
        <v>0.42761798705987902</v>
      </c>
      <c r="AI236" s="177">
        <f t="shared" si="377"/>
        <v>0.42761798705987902</v>
      </c>
      <c r="AJ236" s="177">
        <f t="shared" si="378"/>
        <v>1.294531842266577</v>
      </c>
      <c r="AL236" s="555">
        <f t="shared" si="379"/>
        <v>40.000000000000007</v>
      </c>
      <c r="AM236" s="469">
        <f t="shared" si="380"/>
        <v>350</v>
      </c>
      <c r="AO236">
        <f t="shared" si="381"/>
        <v>40.000000000000007</v>
      </c>
      <c r="AP236">
        <f t="shared" si="382"/>
        <v>350</v>
      </c>
      <c r="AR236" s="5">
        <f t="shared" si="343"/>
        <v>2.8571428571428572</v>
      </c>
      <c r="AS236" s="5">
        <f t="shared" si="335"/>
        <v>0.2672612419124244</v>
      </c>
      <c r="AT236" s="5">
        <f t="shared" si="336"/>
        <v>2.5898816152304329</v>
      </c>
      <c r="AU236" s="177">
        <f t="shared" si="337"/>
        <v>9.3541434669348542E-2</v>
      </c>
      <c r="CI236" s="571">
        <f t="shared" si="383"/>
        <v>-50</v>
      </c>
    </row>
    <row r="237" spans="5:87" x14ac:dyDescent="0.25">
      <c r="E237" s="174">
        <v>21</v>
      </c>
      <c r="F237" s="221">
        <f t="shared" si="384"/>
        <v>4.2000000000000003E-2</v>
      </c>
      <c r="G237" s="221">
        <f t="shared" si="353"/>
        <v>2.1000000000000001E-2</v>
      </c>
      <c r="H237" s="221">
        <f t="shared" si="354"/>
        <v>0.67200000000000004</v>
      </c>
      <c r="I237" s="221">
        <f t="shared" si="355"/>
        <v>0.33600000000000002</v>
      </c>
      <c r="J237" s="551">
        <f t="shared" si="356"/>
        <v>48</v>
      </c>
      <c r="K237" s="451">
        <f t="shared" si="357"/>
        <v>19.584</v>
      </c>
      <c r="L237" s="451">
        <f t="shared" si="358"/>
        <v>67.584000000000003</v>
      </c>
      <c r="M237" s="451"/>
      <c r="N237" s="221">
        <f t="shared" si="359"/>
        <v>0.28977272727272724</v>
      </c>
      <c r="O237" s="176">
        <f t="shared" si="360"/>
        <v>6.259090909090907</v>
      </c>
      <c r="P237" s="176">
        <f t="shared" si="361"/>
        <v>3.129545454545454</v>
      </c>
      <c r="Q237" s="221">
        <f t="shared" si="362"/>
        <v>0.39119318181818169</v>
      </c>
      <c r="R237" s="221">
        <f t="shared" si="363"/>
        <v>0.39119318181818169</v>
      </c>
      <c r="S237" s="221">
        <f t="shared" si="364"/>
        <v>16</v>
      </c>
      <c r="T237" s="221">
        <f t="shared" si="365"/>
        <v>0.16104575163398693</v>
      </c>
      <c r="U237" s="221">
        <f t="shared" si="366"/>
        <v>0.10065359477124183</v>
      </c>
      <c r="V237" s="221">
        <f t="shared" si="367"/>
        <v>0.2466999871844163</v>
      </c>
      <c r="W237" s="201">
        <f t="shared" si="368"/>
        <v>350</v>
      </c>
      <c r="X237" s="451">
        <f t="shared" si="369"/>
        <v>350</v>
      </c>
      <c r="Z237" s="221">
        <f t="shared" si="370"/>
        <v>1.3246753246753247</v>
      </c>
      <c r="AA237" s="177">
        <f t="shared" si="371"/>
        <v>2.029220779220779</v>
      </c>
      <c r="AB237" s="177">
        <f t="shared" si="372"/>
        <v>0.37632821723730803</v>
      </c>
      <c r="AC237" s="177"/>
      <c r="AD237" s="177">
        <f t="shared" si="373"/>
        <v>0.4595588235294118</v>
      </c>
      <c r="AE237" s="555">
        <f t="shared" si="374"/>
        <v>761.60000000000025</v>
      </c>
      <c r="AF237" s="538">
        <f t="shared" si="375"/>
        <v>1.9301470588235291E-2</v>
      </c>
      <c r="AH237" s="177">
        <f t="shared" si="376"/>
        <v>0.4381780460041329</v>
      </c>
      <c r="AI237" s="177">
        <f t="shared" si="377"/>
        <v>0.4381780460041329</v>
      </c>
      <c r="AJ237" s="177">
        <f t="shared" si="378"/>
        <v>1.3023541081512096</v>
      </c>
      <c r="AL237" s="555">
        <f t="shared" si="379"/>
        <v>42</v>
      </c>
      <c r="AM237" s="469">
        <f t="shared" si="380"/>
        <v>350</v>
      </c>
      <c r="AO237">
        <f t="shared" si="381"/>
        <v>42</v>
      </c>
      <c r="AP237">
        <f t="shared" si="382"/>
        <v>350</v>
      </c>
      <c r="AR237" s="5">
        <f t="shared" si="343"/>
        <v>2.8571428571428572</v>
      </c>
      <c r="AS237" s="5">
        <f t="shared" si="335"/>
        <v>0.27386127875258309</v>
      </c>
      <c r="AT237" s="5">
        <f t="shared" si="336"/>
        <v>2.5832815783902743</v>
      </c>
      <c r="AU237" s="177">
        <f t="shared" si="337"/>
        <v>9.585144756340408E-2</v>
      </c>
      <c r="CI237" s="571">
        <f t="shared" si="383"/>
        <v>-50</v>
      </c>
    </row>
    <row r="238" spans="5:87" x14ac:dyDescent="0.25">
      <c r="E238" s="174">
        <v>22</v>
      </c>
      <c r="F238" s="221">
        <f t="shared" si="384"/>
        <v>4.4000000000000004E-2</v>
      </c>
      <c r="G238" s="221">
        <f t="shared" si="353"/>
        <v>2.2000000000000002E-2</v>
      </c>
      <c r="H238" s="221">
        <f t="shared" si="354"/>
        <v>0.70400000000000007</v>
      </c>
      <c r="I238" s="221">
        <f t="shared" si="355"/>
        <v>0.35200000000000004</v>
      </c>
      <c r="J238" s="551">
        <f t="shared" si="356"/>
        <v>48</v>
      </c>
      <c r="K238" s="451">
        <f t="shared" si="357"/>
        <v>19.584</v>
      </c>
      <c r="L238" s="451">
        <f t="shared" si="358"/>
        <v>67.584000000000003</v>
      </c>
      <c r="M238" s="451"/>
      <c r="N238" s="221">
        <f t="shared" si="359"/>
        <v>0.28977272727272724</v>
      </c>
      <c r="O238" s="176">
        <f t="shared" si="360"/>
        <v>6.259090909090907</v>
      </c>
      <c r="P238" s="176">
        <f t="shared" si="361"/>
        <v>3.129545454545454</v>
      </c>
      <c r="Q238" s="221">
        <f t="shared" si="362"/>
        <v>0.39119318181818169</v>
      </c>
      <c r="R238" s="221">
        <f t="shared" si="363"/>
        <v>0.39119318181818169</v>
      </c>
      <c r="S238" s="221">
        <f t="shared" si="364"/>
        <v>16</v>
      </c>
      <c r="T238" s="221">
        <f t="shared" si="365"/>
        <v>0.16871459694989108</v>
      </c>
      <c r="U238" s="221">
        <f t="shared" si="366"/>
        <v>0.10544662309368193</v>
      </c>
      <c r="V238" s="221">
        <f t="shared" si="367"/>
        <v>0.25844760562176944</v>
      </c>
      <c r="W238" s="201">
        <f t="shared" si="368"/>
        <v>350</v>
      </c>
      <c r="X238" s="451">
        <f t="shared" si="369"/>
        <v>350</v>
      </c>
      <c r="Z238" s="221">
        <f t="shared" si="370"/>
        <v>1.3246753246753247</v>
      </c>
      <c r="AA238" s="177">
        <f t="shared" si="371"/>
        <v>2.029220779220779</v>
      </c>
      <c r="AB238" s="177">
        <f t="shared" si="372"/>
        <v>0.37632821723730803</v>
      </c>
      <c r="AC238" s="177"/>
      <c r="AD238" s="177">
        <f t="shared" si="373"/>
        <v>0.4595588235294118</v>
      </c>
      <c r="AE238" s="555">
        <f t="shared" si="374"/>
        <v>797.86666666666702</v>
      </c>
      <c r="AF238" s="538">
        <f t="shared" si="375"/>
        <v>1.9301470588235291E-2</v>
      </c>
      <c r="AH238" s="177">
        <f t="shared" si="376"/>
        <v>0.44848952846511048</v>
      </c>
      <c r="AI238" s="177">
        <f t="shared" si="377"/>
        <v>0.44848952846511048</v>
      </c>
      <c r="AJ238" s="177">
        <f t="shared" si="378"/>
        <v>1.3099922433074891</v>
      </c>
      <c r="AL238" s="555">
        <f t="shared" si="379"/>
        <v>44.000000000000007</v>
      </c>
      <c r="AM238" s="469">
        <f t="shared" si="380"/>
        <v>350</v>
      </c>
      <c r="AO238">
        <f t="shared" si="381"/>
        <v>44.000000000000007</v>
      </c>
      <c r="AP238">
        <f t="shared" si="382"/>
        <v>350</v>
      </c>
      <c r="AR238" s="5">
        <f t="shared" si="343"/>
        <v>2.8571428571428572</v>
      </c>
      <c r="AS238" s="5">
        <f t="shared" si="335"/>
        <v>0.28030595529069402</v>
      </c>
      <c r="AT238" s="5">
        <f t="shared" si="336"/>
        <v>2.5768369018521633</v>
      </c>
      <c r="AU238" s="177">
        <f t="shared" si="337"/>
        <v>9.810708435174291E-2</v>
      </c>
      <c r="CI238" s="571">
        <f t="shared" si="383"/>
        <v>-50</v>
      </c>
    </row>
    <row r="239" spans="5:87" x14ac:dyDescent="0.25">
      <c r="E239" s="174">
        <v>23</v>
      </c>
      <c r="F239" s="221">
        <f t="shared" si="384"/>
        <v>4.6000000000000006E-2</v>
      </c>
      <c r="G239" s="221">
        <f t="shared" si="353"/>
        <v>2.3000000000000003E-2</v>
      </c>
      <c r="H239" s="221">
        <f t="shared" si="354"/>
        <v>0.7360000000000001</v>
      </c>
      <c r="I239" s="221">
        <f t="shared" si="355"/>
        <v>0.36800000000000005</v>
      </c>
      <c r="J239" s="551">
        <f t="shared" si="356"/>
        <v>48</v>
      </c>
      <c r="K239" s="451">
        <f t="shared" si="357"/>
        <v>19.584</v>
      </c>
      <c r="L239" s="451">
        <f t="shared" si="358"/>
        <v>67.584000000000003</v>
      </c>
      <c r="M239" s="451"/>
      <c r="N239" s="221">
        <f t="shared" si="359"/>
        <v>0.28977272727272724</v>
      </c>
      <c r="O239" s="176">
        <f t="shared" si="360"/>
        <v>6.259090909090907</v>
      </c>
      <c r="P239" s="176">
        <f t="shared" si="361"/>
        <v>3.129545454545454</v>
      </c>
      <c r="Q239" s="221">
        <f t="shared" si="362"/>
        <v>0.39119318181818169</v>
      </c>
      <c r="R239" s="221">
        <f t="shared" si="363"/>
        <v>0.39119318181818169</v>
      </c>
      <c r="S239" s="221">
        <f t="shared" si="364"/>
        <v>16</v>
      </c>
      <c r="T239" s="221">
        <f t="shared" si="365"/>
        <v>0.17638344226579522</v>
      </c>
      <c r="U239" s="221">
        <f t="shared" si="366"/>
        <v>0.11023965141612201</v>
      </c>
      <c r="V239" s="221">
        <f t="shared" si="367"/>
        <v>0.27019522405912261</v>
      </c>
      <c r="W239" s="201">
        <f t="shared" si="368"/>
        <v>350</v>
      </c>
      <c r="X239" s="451">
        <f t="shared" si="369"/>
        <v>350</v>
      </c>
      <c r="Z239" s="221">
        <f t="shared" si="370"/>
        <v>1.3246753246753247</v>
      </c>
      <c r="AA239" s="177">
        <f t="shared" si="371"/>
        <v>2.029220779220779</v>
      </c>
      <c r="AB239" s="177">
        <f t="shared" si="372"/>
        <v>0.37632821723730803</v>
      </c>
      <c r="AC239" s="177"/>
      <c r="AD239" s="177">
        <f t="shared" si="373"/>
        <v>0.4595588235294118</v>
      </c>
      <c r="AE239" s="555">
        <f t="shared" si="374"/>
        <v>834.13333333333355</v>
      </c>
      <c r="AF239" s="538">
        <f t="shared" si="375"/>
        <v>1.9301470588235291E-2</v>
      </c>
      <c r="AH239" s="177">
        <f t="shared" si="376"/>
        <v>0.45856920337688867</v>
      </c>
      <c r="AI239" s="177">
        <f t="shared" si="377"/>
        <v>0.45856920337688867</v>
      </c>
      <c r="AJ239" s="177">
        <f t="shared" si="378"/>
        <v>1.3174586691680656</v>
      </c>
      <c r="AL239" s="555">
        <f t="shared" si="379"/>
        <v>46.000000000000007</v>
      </c>
      <c r="AM239" s="469">
        <f t="shared" si="380"/>
        <v>350</v>
      </c>
      <c r="AO239">
        <f t="shared" si="381"/>
        <v>46.000000000000007</v>
      </c>
      <c r="AP239">
        <f t="shared" si="382"/>
        <v>350</v>
      </c>
      <c r="AR239" s="5">
        <f t="shared" si="343"/>
        <v>2.8571428571428572</v>
      </c>
      <c r="AS239" s="5">
        <f t="shared" si="335"/>
        <v>0.28660575211055545</v>
      </c>
      <c r="AT239" s="5">
        <f t="shared" si="336"/>
        <v>2.5705371050323018</v>
      </c>
      <c r="AU239" s="177">
        <f t="shared" si="337"/>
        <v>0.1003120132386944</v>
      </c>
      <c r="CI239" s="571">
        <f t="shared" si="383"/>
        <v>-50</v>
      </c>
    </row>
    <row r="240" spans="5:87" x14ac:dyDescent="0.25">
      <c r="E240" s="174">
        <v>24</v>
      </c>
      <c r="F240" s="221">
        <f t="shared" si="384"/>
        <v>4.8000000000000001E-2</v>
      </c>
      <c r="G240" s="221">
        <f t="shared" si="353"/>
        <v>2.4E-2</v>
      </c>
      <c r="H240" s="221">
        <f t="shared" si="354"/>
        <v>0.76800000000000002</v>
      </c>
      <c r="I240" s="221">
        <f t="shared" si="355"/>
        <v>0.38400000000000001</v>
      </c>
      <c r="J240" s="551">
        <f t="shared" si="356"/>
        <v>48</v>
      </c>
      <c r="K240" s="451">
        <f t="shared" si="357"/>
        <v>19.584</v>
      </c>
      <c r="L240" s="451">
        <f t="shared" si="358"/>
        <v>67.584000000000003</v>
      </c>
      <c r="M240" s="451"/>
      <c r="N240" s="221">
        <f t="shared" si="359"/>
        <v>0.28977272727272724</v>
      </c>
      <c r="O240" s="176">
        <f t="shared" si="360"/>
        <v>6.259090909090907</v>
      </c>
      <c r="P240" s="176">
        <f t="shared" si="361"/>
        <v>3.129545454545454</v>
      </c>
      <c r="Q240" s="221">
        <f t="shared" si="362"/>
        <v>0.39119318181818169</v>
      </c>
      <c r="R240" s="221">
        <f t="shared" si="363"/>
        <v>0.39119318181818169</v>
      </c>
      <c r="S240" s="221">
        <f t="shared" si="364"/>
        <v>16</v>
      </c>
      <c r="T240" s="221">
        <f t="shared" si="365"/>
        <v>0.18405228758169936</v>
      </c>
      <c r="U240" s="221">
        <f t="shared" si="366"/>
        <v>0.1150326797385621</v>
      </c>
      <c r="V240" s="221">
        <f t="shared" si="367"/>
        <v>0.28194284249647572</v>
      </c>
      <c r="W240" s="201">
        <f t="shared" si="368"/>
        <v>350</v>
      </c>
      <c r="X240" s="451">
        <f t="shared" si="369"/>
        <v>350</v>
      </c>
      <c r="Z240" s="221">
        <f t="shared" si="370"/>
        <v>1.3246753246753247</v>
      </c>
      <c r="AA240" s="177">
        <f t="shared" si="371"/>
        <v>2.029220779220779</v>
      </c>
      <c r="AB240" s="177">
        <f t="shared" si="372"/>
        <v>0.37632821723730803</v>
      </c>
      <c r="AC240" s="177"/>
      <c r="AD240" s="177">
        <f t="shared" si="373"/>
        <v>0.4595588235294118</v>
      </c>
      <c r="AE240" s="555">
        <f t="shared" si="374"/>
        <v>870.40000000000032</v>
      </c>
      <c r="AF240" s="538">
        <f t="shared" si="375"/>
        <v>1.9301470588235291E-2</v>
      </c>
      <c r="AH240" s="177">
        <f t="shared" si="376"/>
        <v>0.46843203501529596</v>
      </c>
      <c r="AI240" s="177">
        <f t="shared" si="377"/>
        <v>0.46843203501529596</v>
      </c>
      <c r="AJ240" s="177">
        <f t="shared" si="378"/>
        <v>1.3247644703817008</v>
      </c>
      <c r="AL240" s="555">
        <f t="shared" si="379"/>
        <v>48</v>
      </c>
      <c r="AM240" s="469">
        <f t="shared" si="380"/>
        <v>350</v>
      </c>
      <c r="AO240">
        <f t="shared" si="381"/>
        <v>48</v>
      </c>
      <c r="AP240">
        <f t="shared" si="382"/>
        <v>350</v>
      </c>
      <c r="AR240" s="5">
        <f t="shared" si="343"/>
        <v>2.8571428571428572</v>
      </c>
      <c r="AS240" s="5">
        <f t="shared" si="335"/>
        <v>0.29277002188455997</v>
      </c>
      <c r="AT240" s="5">
        <f t="shared" si="336"/>
        <v>2.5643728352582973</v>
      </c>
      <c r="AU240" s="177">
        <f t="shared" si="337"/>
        <v>0.10246950765959599</v>
      </c>
      <c r="CI240" s="571">
        <f t="shared" si="383"/>
        <v>-50</v>
      </c>
    </row>
    <row r="241" spans="5:87" x14ac:dyDescent="0.25">
      <c r="E241" s="174">
        <v>25</v>
      </c>
      <c r="F241" s="221">
        <f t="shared" si="384"/>
        <v>0.05</v>
      </c>
      <c r="G241" s="221">
        <f t="shared" si="353"/>
        <v>2.5000000000000001E-2</v>
      </c>
      <c r="H241" s="221">
        <f t="shared" si="354"/>
        <v>0.8</v>
      </c>
      <c r="I241" s="221">
        <f t="shared" si="355"/>
        <v>0.4</v>
      </c>
      <c r="J241" s="551">
        <f t="shared" si="356"/>
        <v>48</v>
      </c>
      <c r="K241" s="451">
        <f t="shared" si="357"/>
        <v>19.584</v>
      </c>
      <c r="L241" s="451">
        <f t="shared" si="358"/>
        <v>67.584000000000003</v>
      </c>
      <c r="M241" s="451"/>
      <c r="N241" s="221">
        <f t="shared" si="359"/>
        <v>0.28977272727272724</v>
      </c>
      <c r="O241" s="176">
        <f t="shared" si="360"/>
        <v>6.259090909090907</v>
      </c>
      <c r="P241" s="176">
        <f t="shared" si="361"/>
        <v>3.129545454545454</v>
      </c>
      <c r="Q241" s="221">
        <f t="shared" si="362"/>
        <v>0.39119318181818169</v>
      </c>
      <c r="R241" s="221">
        <f t="shared" si="363"/>
        <v>0.39119318181818169</v>
      </c>
      <c r="S241" s="221">
        <f t="shared" si="364"/>
        <v>16</v>
      </c>
      <c r="T241" s="221">
        <f t="shared" si="365"/>
        <v>0.19172113289760354</v>
      </c>
      <c r="U241" s="221">
        <f t="shared" si="366"/>
        <v>0.11982570806100221</v>
      </c>
      <c r="V241" s="221">
        <f t="shared" si="367"/>
        <v>0.29369046093382895</v>
      </c>
      <c r="W241" s="201">
        <f t="shared" si="368"/>
        <v>350</v>
      </c>
      <c r="X241" s="451">
        <f t="shared" si="369"/>
        <v>350</v>
      </c>
      <c r="Z241" s="221">
        <f t="shared" si="370"/>
        <v>1.3246753246753247</v>
      </c>
      <c r="AA241" s="177">
        <f t="shared" si="371"/>
        <v>2.029220779220779</v>
      </c>
      <c r="AB241" s="177">
        <f t="shared" si="372"/>
        <v>0.37632821723730803</v>
      </c>
      <c r="AC241" s="177"/>
      <c r="AD241" s="177">
        <f t="shared" si="373"/>
        <v>0.4595588235294118</v>
      </c>
      <c r="AE241" s="555">
        <f t="shared" si="374"/>
        <v>906.66666666666686</v>
      </c>
      <c r="AF241" s="538">
        <f t="shared" si="375"/>
        <v>1.9301470588235291E-2</v>
      </c>
      <c r="AH241" s="177">
        <f t="shared" si="376"/>
        <v>0.4780914437337575</v>
      </c>
      <c r="AI241" s="177">
        <f t="shared" si="377"/>
        <v>0.4780914437337575</v>
      </c>
      <c r="AJ241" s="177">
        <f t="shared" si="378"/>
        <v>1.3319195879509313</v>
      </c>
      <c r="AL241" s="555">
        <f t="shared" si="379"/>
        <v>50</v>
      </c>
      <c r="AM241" s="469">
        <f t="shared" si="380"/>
        <v>350</v>
      </c>
      <c r="AO241">
        <f t="shared" si="381"/>
        <v>50</v>
      </c>
      <c r="AP241">
        <f t="shared" si="382"/>
        <v>350</v>
      </c>
      <c r="AR241" s="5">
        <f t="shared" si="343"/>
        <v>2.8571428571428572</v>
      </c>
      <c r="AS241" s="5">
        <f t="shared" si="335"/>
        <v>0.2988071523335985</v>
      </c>
      <c r="AT241" s="5">
        <f t="shared" si="336"/>
        <v>2.5583357048092585</v>
      </c>
      <c r="AU241" s="177">
        <f t="shared" si="337"/>
        <v>0.10458250331675947</v>
      </c>
      <c r="CI241" s="571">
        <f t="shared" si="383"/>
        <v>-50</v>
      </c>
    </row>
    <row r="242" spans="5:87" x14ac:dyDescent="0.25">
      <c r="E242" s="174">
        <v>26</v>
      </c>
      <c r="F242" s="221">
        <f t="shared" si="384"/>
        <v>5.2000000000000005E-2</v>
      </c>
      <c r="G242" s="221">
        <f t="shared" si="353"/>
        <v>2.6000000000000002E-2</v>
      </c>
      <c r="H242" s="221">
        <f t="shared" si="354"/>
        <v>0.83200000000000007</v>
      </c>
      <c r="I242" s="221">
        <f t="shared" si="355"/>
        <v>0.41600000000000004</v>
      </c>
      <c r="J242" s="551">
        <f t="shared" si="356"/>
        <v>48</v>
      </c>
      <c r="K242" s="451">
        <f t="shared" si="357"/>
        <v>19.584</v>
      </c>
      <c r="L242" s="451">
        <f t="shared" si="358"/>
        <v>67.584000000000003</v>
      </c>
      <c r="M242" s="451"/>
      <c r="N242" s="221">
        <f t="shared" si="359"/>
        <v>0.28977272727272724</v>
      </c>
      <c r="O242" s="176">
        <f t="shared" si="360"/>
        <v>6.259090909090907</v>
      </c>
      <c r="P242" s="176">
        <f t="shared" si="361"/>
        <v>3.129545454545454</v>
      </c>
      <c r="Q242" s="221">
        <f t="shared" si="362"/>
        <v>0.39119318181818169</v>
      </c>
      <c r="R242" s="221">
        <f t="shared" si="363"/>
        <v>0.39119318181818169</v>
      </c>
      <c r="S242" s="221">
        <f t="shared" si="364"/>
        <v>16</v>
      </c>
      <c r="T242" s="221">
        <f t="shared" si="365"/>
        <v>0.19938997821350768</v>
      </c>
      <c r="U242" s="221">
        <f t="shared" si="366"/>
        <v>0.1246187363834423</v>
      </c>
      <c r="V242" s="221">
        <f t="shared" si="367"/>
        <v>0.30543807937118211</v>
      </c>
      <c r="W242" s="201">
        <f t="shared" si="368"/>
        <v>350</v>
      </c>
      <c r="X242" s="451">
        <f t="shared" si="369"/>
        <v>350</v>
      </c>
      <c r="Z242" s="221">
        <f t="shared" si="370"/>
        <v>1.3246753246753247</v>
      </c>
      <c r="AA242" s="177">
        <f t="shared" si="371"/>
        <v>2.029220779220779</v>
      </c>
      <c r="AB242" s="177">
        <f t="shared" si="372"/>
        <v>0.37632821723730803</v>
      </c>
      <c r="AC242" s="177"/>
      <c r="AD242" s="177">
        <f t="shared" si="373"/>
        <v>0.4595588235294118</v>
      </c>
      <c r="AE242" s="555">
        <f t="shared" si="374"/>
        <v>942.93333333333362</v>
      </c>
      <c r="AF242" s="538">
        <f t="shared" si="375"/>
        <v>1.9301470588235291E-2</v>
      </c>
      <c r="AH242" s="177">
        <f t="shared" si="376"/>
        <v>0.48755952017603532</v>
      </c>
      <c r="AI242" s="177">
        <f t="shared" si="377"/>
        <v>0.48755952017603532</v>
      </c>
      <c r="AJ242" s="177">
        <f t="shared" si="378"/>
        <v>1.3389329779081742</v>
      </c>
      <c r="AL242" s="555">
        <f t="shared" si="379"/>
        <v>52.000000000000007</v>
      </c>
      <c r="AM242" s="469">
        <f t="shared" si="380"/>
        <v>350</v>
      </c>
      <c r="AO242">
        <f t="shared" si="381"/>
        <v>52.000000000000007</v>
      </c>
      <c r="AP242">
        <f t="shared" si="382"/>
        <v>350</v>
      </c>
      <c r="AR242" s="5">
        <f t="shared" si="343"/>
        <v>2.8571428571428572</v>
      </c>
      <c r="AS242" s="5">
        <f t="shared" si="335"/>
        <v>0.30472470011002206</v>
      </c>
      <c r="AT242" s="5">
        <f t="shared" si="336"/>
        <v>2.552418157032835</v>
      </c>
      <c r="AU242" s="177">
        <f t="shared" si="337"/>
        <v>0.10665364503850772</v>
      </c>
      <c r="CI242" s="571">
        <f t="shared" si="383"/>
        <v>-50</v>
      </c>
    </row>
    <row r="243" spans="5:87" x14ac:dyDescent="0.25">
      <c r="E243" s="174">
        <v>27</v>
      </c>
      <c r="F243" s="221">
        <f t="shared" si="384"/>
        <v>5.4000000000000006E-2</v>
      </c>
      <c r="G243" s="221">
        <f t="shared" si="353"/>
        <v>2.7000000000000003E-2</v>
      </c>
      <c r="H243" s="221">
        <f t="shared" si="354"/>
        <v>0.8640000000000001</v>
      </c>
      <c r="I243" s="221">
        <f t="shared" si="355"/>
        <v>0.43200000000000005</v>
      </c>
      <c r="J243" s="551">
        <f t="shared" si="356"/>
        <v>48</v>
      </c>
      <c r="K243" s="451">
        <f t="shared" si="357"/>
        <v>19.584</v>
      </c>
      <c r="L243" s="451">
        <f t="shared" si="358"/>
        <v>67.584000000000003</v>
      </c>
      <c r="M243" s="451"/>
      <c r="N243" s="221">
        <f t="shared" si="359"/>
        <v>0.28977272727272724</v>
      </c>
      <c r="O243" s="176">
        <f t="shared" si="360"/>
        <v>6.259090909090907</v>
      </c>
      <c r="P243" s="176">
        <f t="shared" si="361"/>
        <v>3.129545454545454</v>
      </c>
      <c r="Q243" s="221">
        <f t="shared" si="362"/>
        <v>0.39119318181818169</v>
      </c>
      <c r="R243" s="221">
        <f t="shared" si="363"/>
        <v>0.39119318181818169</v>
      </c>
      <c r="S243" s="221">
        <f t="shared" si="364"/>
        <v>16</v>
      </c>
      <c r="T243" s="221">
        <f t="shared" si="365"/>
        <v>0.20705882352941182</v>
      </c>
      <c r="U243" s="221">
        <f t="shared" si="366"/>
        <v>0.12941176470588239</v>
      </c>
      <c r="V243" s="221">
        <f t="shared" si="367"/>
        <v>0.31718569780853528</v>
      </c>
      <c r="W243" s="201">
        <f t="shared" si="368"/>
        <v>350</v>
      </c>
      <c r="X243" s="451">
        <f t="shared" si="369"/>
        <v>350</v>
      </c>
      <c r="Z243" s="221">
        <f t="shared" si="370"/>
        <v>1.3246753246753247</v>
      </c>
      <c r="AA243" s="177">
        <f t="shared" si="371"/>
        <v>2.029220779220779</v>
      </c>
      <c r="AB243" s="177">
        <f t="shared" si="372"/>
        <v>0.37632821723730803</v>
      </c>
      <c r="AC243" s="177"/>
      <c r="AD243" s="177">
        <f t="shared" si="373"/>
        <v>0.4595588235294118</v>
      </c>
      <c r="AE243" s="555">
        <f t="shared" si="374"/>
        <v>979.20000000000027</v>
      </c>
      <c r="AF243" s="538">
        <f t="shared" si="375"/>
        <v>1.9301470588235291E-2</v>
      </c>
      <c r="AH243" s="177">
        <f t="shared" si="376"/>
        <v>0.49684720272649507</v>
      </c>
      <c r="AI243" s="177">
        <f t="shared" si="377"/>
        <v>0.49684720272649507</v>
      </c>
      <c r="AJ243" s="177">
        <f t="shared" si="378"/>
        <v>1.3458127427603666</v>
      </c>
      <c r="AL243" s="555">
        <f t="shared" si="379"/>
        <v>54.000000000000007</v>
      </c>
      <c r="AM243" s="469">
        <f t="shared" si="380"/>
        <v>350</v>
      </c>
      <c r="AO243">
        <f t="shared" si="381"/>
        <v>54.000000000000007</v>
      </c>
      <c r="AP243">
        <f t="shared" si="382"/>
        <v>350</v>
      </c>
      <c r="AR243" s="5">
        <f t="shared" si="343"/>
        <v>2.8571428571428572</v>
      </c>
      <c r="AS243" s="5">
        <f t="shared" ref="AS243:AS306" si="385">L*AI243/J243*1000000</f>
        <v>0.31052950170405946</v>
      </c>
      <c r="AT243" s="5">
        <f t="shared" ref="AT243:AT306" si="386">AR243-AS243</f>
        <v>2.5466133554387977</v>
      </c>
      <c r="AU243" s="177">
        <f t="shared" ref="AU243:AU306" si="387">AS243/AR243</f>
        <v>0.10868532559642081</v>
      </c>
      <c r="CI243" s="571">
        <f t="shared" si="383"/>
        <v>-50</v>
      </c>
    </row>
    <row r="244" spans="5:87" x14ac:dyDescent="0.25">
      <c r="E244" s="174">
        <v>28</v>
      </c>
      <c r="F244" s="221">
        <f t="shared" si="384"/>
        <v>5.6000000000000008E-2</v>
      </c>
      <c r="G244" s="221">
        <f t="shared" si="353"/>
        <v>2.8000000000000004E-2</v>
      </c>
      <c r="H244" s="221">
        <f t="shared" si="354"/>
        <v>0.89600000000000013</v>
      </c>
      <c r="I244" s="221">
        <f t="shared" si="355"/>
        <v>0.44800000000000006</v>
      </c>
      <c r="J244" s="551">
        <f t="shared" si="356"/>
        <v>48</v>
      </c>
      <c r="K244" s="451">
        <f t="shared" si="357"/>
        <v>19.584</v>
      </c>
      <c r="L244" s="451">
        <f t="shared" si="358"/>
        <v>67.584000000000003</v>
      </c>
      <c r="M244" s="451"/>
      <c r="N244" s="221">
        <f t="shared" si="359"/>
        <v>0.28977272727272724</v>
      </c>
      <c r="O244" s="176">
        <f t="shared" si="360"/>
        <v>6.259090909090907</v>
      </c>
      <c r="P244" s="176">
        <f t="shared" si="361"/>
        <v>3.129545454545454</v>
      </c>
      <c r="Q244" s="221">
        <f t="shared" si="362"/>
        <v>0.39119318181818169</v>
      </c>
      <c r="R244" s="221">
        <f t="shared" si="363"/>
        <v>0.39119318181818169</v>
      </c>
      <c r="S244" s="221">
        <f t="shared" si="364"/>
        <v>16</v>
      </c>
      <c r="T244" s="221">
        <f t="shared" si="365"/>
        <v>0.21472766884531597</v>
      </c>
      <c r="U244" s="221">
        <f t="shared" si="366"/>
        <v>0.13420479302832247</v>
      </c>
      <c r="V244" s="221">
        <f t="shared" si="367"/>
        <v>0.32893331624588845</v>
      </c>
      <c r="W244" s="201">
        <f t="shared" si="368"/>
        <v>350</v>
      </c>
      <c r="X244" s="451">
        <f t="shared" si="369"/>
        <v>350</v>
      </c>
      <c r="Z244" s="221">
        <f t="shared" si="370"/>
        <v>1.3246753246753247</v>
      </c>
      <c r="AA244" s="177">
        <f t="shared" si="371"/>
        <v>2.029220779220779</v>
      </c>
      <c r="AB244" s="177">
        <f t="shared" si="372"/>
        <v>0.37632821723730803</v>
      </c>
      <c r="AC244" s="177"/>
      <c r="AD244" s="177">
        <f t="shared" si="373"/>
        <v>0.4595588235294118</v>
      </c>
      <c r="AE244" s="555">
        <f t="shared" si="374"/>
        <v>1015.466666666667</v>
      </c>
      <c r="AF244" s="538">
        <f t="shared" si="375"/>
        <v>1.9301470588235291E-2</v>
      </c>
      <c r="AH244" s="177">
        <f t="shared" si="376"/>
        <v>0.50596442562694077</v>
      </c>
      <c r="AI244" s="177">
        <f t="shared" si="377"/>
        <v>0.50596442562694077</v>
      </c>
      <c r="AJ244" s="177">
        <f t="shared" si="378"/>
        <v>1.3525662412051414</v>
      </c>
      <c r="AL244" s="555">
        <f t="shared" si="379"/>
        <v>56.000000000000007</v>
      </c>
      <c r="AM244" s="469">
        <f t="shared" si="380"/>
        <v>350</v>
      </c>
      <c r="AO244">
        <f t="shared" si="381"/>
        <v>56.000000000000007</v>
      </c>
      <c r="AP244">
        <f t="shared" si="382"/>
        <v>350</v>
      </c>
      <c r="AR244" s="5">
        <f t="shared" si="343"/>
        <v>2.8571428571428572</v>
      </c>
      <c r="AS244" s="5">
        <f t="shared" si="385"/>
        <v>0.316227766016838</v>
      </c>
      <c r="AT244" s="5">
        <f t="shared" si="386"/>
        <v>2.5409150911260192</v>
      </c>
      <c r="AU244" s="177">
        <f t="shared" si="387"/>
        <v>0.11067971810589329</v>
      </c>
      <c r="CI244" s="571">
        <f t="shared" si="383"/>
        <v>-50</v>
      </c>
    </row>
    <row r="245" spans="5:87" x14ac:dyDescent="0.25">
      <c r="E245" s="174">
        <v>29</v>
      </c>
      <c r="F245" s="221">
        <f t="shared" si="384"/>
        <v>5.7999999999999996E-2</v>
      </c>
      <c r="G245" s="221">
        <f t="shared" si="353"/>
        <v>2.8999999999999998E-2</v>
      </c>
      <c r="H245" s="221">
        <f t="shared" si="354"/>
        <v>0.92799999999999994</v>
      </c>
      <c r="I245" s="221">
        <f t="shared" si="355"/>
        <v>0.46399999999999997</v>
      </c>
      <c r="J245" s="551">
        <f t="shared" si="356"/>
        <v>48</v>
      </c>
      <c r="K245" s="451">
        <f t="shared" si="357"/>
        <v>19.584</v>
      </c>
      <c r="L245" s="451">
        <f t="shared" si="358"/>
        <v>67.584000000000003</v>
      </c>
      <c r="M245" s="451"/>
      <c r="N245" s="221">
        <f t="shared" si="359"/>
        <v>0.28977272727272724</v>
      </c>
      <c r="O245" s="176">
        <f t="shared" si="360"/>
        <v>6.259090909090907</v>
      </c>
      <c r="P245" s="176">
        <f t="shared" si="361"/>
        <v>3.129545454545454</v>
      </c>
      <c r="Q245" s="221">
        <f t="shared" si="362"/>
        <v>0.39119318181818169</v>
      </c>
      <c r="R245" s="221">
        <f t="shared" si="363"/>
        <v>0.39119318181818169</v>
      </c>
      <c r="S245" s="221">
        <f t="shared" si="364"/>
        <v>16</v>
      </c>
      <c r="T245" s="221">
        <f t="shared" si="365"/>
        <v>0.22239651416122003</v>
      </c>
      <c r="U245" s="221">
        <f t="shared" si="366"/>
        <v>0.1389978213507625</v>
      </c>
      <c r="V245" s="221">
        <f t="shared" si="367"/>
        <v>0.34068093468324145</v>
      </c>
      <c r="W245" s="201">
        <f t="shared" si="368"/>
        <v>350</v>
      </c>
      <c r="X245" s="451">
        <f t="shared" si="369"/>
        <v>350</v>
      </c>
      <c r="Z245" s="221">
        <f t="shared" si="370"/>
        <v>1.3246753246753247</v>
      </c>
      <c r="AA245" s="177">
        <f t="shared" si="371"/>
        <v>2.029220779220779</v>
      </c>
      <c r="AB245" s="177">
        <f t="shared" si="372"/>
        <v>0.37632821723730803</v>
      </c>
      <c r="AC245" s="177"/>
      <c r="AD245" s="177">
        <f t="shared" si="373"/>
        <v>0.4595588235294118</v>
      </c>
      <c r="AE245" s="555">
        <f t="shared" si="374"/>
        <v>1051.7333333333333</v>
      </c>
      <c r="AF245" s="538">
        <f t="shared" si="375"/>
        <v>1.9301470588235291E-2</v>
      </c>
      <c r="AH245" s="177">
        <f t="shared" si="376"/>
        <v>0.51492024347743126</v>
      </c>
      <c r="AI245" s="177">
        <f t="shared" si="377"/>
        <v>0.51492024347743126</v>
      </c>
      <c r="AJ245" s="177">
        <f t="shared" si="378"/>
        <v>1.3592001803536529</v>
      </c>
      <c r="AL245" s="555">
        <f t="shared" si="379"/>
        <v>57.999999999999993</v>
      </c>
      <c r="AM245" s="469">
        <f t="shared" si="380"/>
        <v>350</v>
      </c>
      <c r="AO245">
        <f t="shared" si="381"/>
        <v>57.999999999999993</v>
      </c>
      <c r="AP245">
        <f t="shared" si="382"/>
        <v>350</v>
      </c>
      <c r="AR245" s="5">
        <f t="shared" si="343"/>
        <v>2.8571428571428572</v>
      </c>
      <c r="AS245" s="5">
        <f t="shared" si="385"/>
        <v>0.32182515217339458</v>
      </c>
      <c r="AT245" s="5">
        <f t="shared" si="386"/>
        <v>2.5353177049694624</v>
      </c>
      <c r="AU245" s="177">
        <f t="shared" si="387"/>
        <v>0.11263880326068811</v>
      </c>
      <c r="CI245" s="571">
        <f t="shared" si="383"/>
        <v>-50</v>
      </c>
    </row>
    <row r="246" spans="5:87" x14ac:dyDescent="0.25">
      <c r="E246" s="174">
        <v>30</v>
      </c>
      <c r="F246" s="221">
        <f t="shared" si="384"/>
        <v>0.06</v>
      </c>
      <c r="G246" s="221">
        <f t="shared" si="353"/>
        <v>0.03</v>
      </c>
      <c r="H246" s="221">
        <f t="shared" si="354"/>
        <v>0.96</v>
      </c>
      <c r="I246" s="221">
        <f t="shared" si="355"/>
        <v>0.48</v>
      </c>
      <c r="J246" s="551">
        <f t="shared" si="356"/>
        <v>48</v>
      </c>
      <c r="K246" s="451">
        <f t="shared" si="357"/>
        <v>19.584</v>
      </c>
      <c r="L246" s="451">
        <f t="shared" si="358"/>
        <v>67.584000000000003</v>
      </c>
      <c r="M246" s="451"/>
      <c r="N246" s="221">
        <f t="shared" si="359"/>
        <v>0.28977272727272724</v>
      </c>
      <c r="O246" s="176">
        <f t="shared" si="360"/>
        <v>6.259090909090907</v>
      </c>
      <c r="P246" s="176">
        <f t="shared" si="361"/>
        <v>3.129545454545454</v>
      </c>
      <c r="Q246" s="221">
        <f t="shared" si="362"/>
        <v>0.39119318181818169</v>
      </c>
      <c r="R246" s="221">
        <f t="shared" si="363"/>
        <v>0.39119318181818169</v>
      </c>
      <c r="S246" s="221">
        <f t="shared" si="364"/>
        <v>16</v>
      </c>
      <c r="T246" s="221">
        <f t="shared" si="365"/>
        <v>0.2300653594771242</v>
      </c>
      <c r="U246" s="221">
        <f t="shared" si="366"/>
        <v>0.14379084967320263</v>
      </c>
      <c r="V246" s="221">
        <f t="shared" si="367"/>
        <v>0.35242855312059468</v>
      </c>
      <c r="W246" s="201">
        <f t="shared" si="368"/>
        <v>350</v>
      </c>
      <c r="X246" s="451">
        <f t="shared" si="369"/>
        <v>350</v>
      </c>
      <c r="Z246" s="221">
        <f t="shared" si="370"/>
        <v>1.3246753246753247</v>
      </c>
      <c r="AA246" s="177">
        <f t="shared" si="371"/>
        <v>2.029220779220779</v>
      </c>
      <c r="AB246" s="177">
        <f t="shared" si="372"/>
        <v>0.37632821723730803</v>
      </c>
      <c r="AC246" s="177"/>
      <c r="AD246" s="177">
        <f t="shared" si="373"/>
        <v>0.4595588235294118</v>
      </c>
      <c r="AE246" s="555">
        <f t="shared" si="374"/>
        <v>1088.0000000000002</v>
      </c>
      <c r="AF246" s="538">
        <f t="shared" si="375"/>
        <v>1.9301470588235291E-2</v>
      </c>
      <c r="AH246" s="177">
        <f t="shared" si="376"/>
        <v>0.52372293656638169</v>
      </c>
      <c r="AI246" s="177">
        <f t="shared" si="377"/>
        <v>0.52372293656638169</v>
      </c>
      <c r="AJ246" s="177">
        <f t="shared" si="378"/>
        <v>1.3657206937528752</v>
      </c>
      <c r="AL246" s="555">
        <f t="shared" si="379"/>
        <v>60</v>
      </c>
      <c r="AM246" s="469">
        <f t="shared" si="380"/>
        <v>350</v>
      </c>
      <c r="AO246">
        <f t="shared" si="381"/>
        <v>60</v>
      </c>
      <c r="AP246">
        <f t="shared" si="382"/>
        <v>350</v>
      </c>
      <c r="AR246" s="5">
        <f t="shared" si="343"/>
        <v>2.8571428571428572</v>
      </c>
      <c r="AS246" s="5">
        <f t="shared" si="385"/>
        <v>0.32732683535398854</v>
      </c>
      <c r="AT246" s="5">
        <f t="shared" si="386"/>
        <v>2.5298160217888688</v>
      </c>
      <c r="AU246" s="177">
        <f t="shared" si="387"/>
        <v>0.11456439237389598</v>
      </c>
      <c r="CI246" s="571">
        <f t="shared" si="383"/>
        <v>-50</v>
      </c>
    </row>
    <row r="247" spans="5:87" x14ac:dyDescent="0.25">
      <c r="E247" s="174">
        <v>31</v>
      </c>
      <c r="F247" s="221">
        <f t="shared" si="384"/>
        <v>6.2E-2</v>
      </c>
      <c r="G247" s="221">
        <f t="shared" si="353"/>
        <v>3.1E-2</v>
      </c>
      <c r="H247" s="221">
        <f t="shared" si="354"/>
        <v>0.99199999999999999</v>
      </c>
      <c r="I247" s="221">
        <f t="shared" si="355"/>
        <v>0.496</v>
      </c>
      <c r="J247" s="551">
        <f t="shared" si="356"/>
        <v>48</v>
      </c>
      <c r="K247" s="451">
        <f t="shared" si="357"/>
        <v>19.584</v>
      </c>
      <c r="L247" s="451">
        <f t="shared" si="358"/>
        <v>67.584000000000003</v>
      </c>
      <c r="M247" s="451"/>
      <c r="N247" s="221">
        <f t="shared" si="359"/>
        <v>0.28977272727272724</v>
      </c>
      <c r="O247" s="176">
        <f t="shared" si="360"/>
        <v>6.259090909090907</v>
      </c>
      <c r="P247" s="176">
        <f t="shared" si="361"/>
        <v>3.129545454545454</v>
      </c>
      <c r="Q247" s="221">
        <f t="shared" si="362"/>
        <v>0.39119318181818169</v>
      </c>
      <c r="R247" s="221">
        <f t="shared" si="363"/>
        <v>0.39119318181818169</v>
      </c>
      <c r="S247" s="221">
        <f t="shared" si="364"/>
        <v>16</v>
      </c>
      <c r="T247" s="221">
        <f t="shared" si="365"/>
        <v>0.23773420479302834</v>
      </c>
      <c r="U247" s="221">
        <f t="shared" si="366"/>
        <v>0.14858387799564271</v>
      </c>
      <c r="V247" s="221">
        <f t="shared" si="367"/>
        <v>0.36417617155794785</v>
      </c>
      <c r="W247" s="201">
        <f t="shared" si="368"/>
        <v>350</v>
      </c>
      <c r="X247" s="451">
        <f t="shared" si="369"/>
        <v>350</v>
      </c>
      <c r="Z247" s="221">
        <f t="shared" si="370"/>
        <v>1.3246753246753247</v>
      </c>
      <c r="AA247" s="177">
        <f t="shared" si="371"/>
        <v>2.029220779220779</v>
      </c>
      <c r="AB247" s="177">
        <f t="shared" si="372"/>
        <v>0.37632821723730803</v>
      </c>
      <c r="AC247" s="177"/>
      <c r="AD247" s="177">
        <f t="shared" si="373"/>
        <v>0.4595588235294118</v>
      </c>
      <c r="AE247" s="555">
        <f t="shared" si="374"/>
        <v>1124.2666666666669</v>
      </c>
      <c r="AF247" s="538">
        <f t="shared" si="375"/>
        <v>1.9301470588235291E-2</v>
      </c>
      <c r="AH247" s="177">
        <f t="shared" si="376"/>
        <v>0.5323801005189539</v>
      </c>
      <c r="AI247" s="177">
        <f t="shared" si="377"/>
        <v>0.5323801005189539</v>
      </c>
      <c r="AJ247" s="177">
        <f t="shared" si="378"/>
        <v>1.3721334077918177</v>
      </c>
      <c r="AL247" s="555">
        <f t="shared" si="379"/>
        <v>62</v>
      </c>
      <c r="AM247" s="469">
        <f t="shared" si="380"/>
        <v>350</v>
      </c>
      <c r="AO247">
        <f t="shared" si="381"/>
        <v>62</v>
      </c>
      <c r="AP247">
        <f t="shared" si="382"/>
        <v>350</v>
      </c>
      <c r="AR247" s="5">
        <f t="shared" si="343"/>
        <v>2.8571428571428572</v>
      </c>
      <c r="AS247" s="5">
        <f t="shared" si="385"/>
        <v>0.33273756282434619</v>
      </c>
      <c r="AT247" s="5">
        <f t="shared" si="386"/>
        <v>2.5244052943185111</v>
      </c>
      <c r="AU247" s="177">
        <f t="shared" si="387"/>
        <v>0.11645814698852117</v>
      </c>
      <c r="CI247" s="571">
        <f t="shared" si="383"/>
        <v>-50</v>
      </c>
    </row>
    <row r="248" spans="5:87" x14ac:dyDescent="0.25">
      <c r="E248" s="174">
        <v>32</v>
      </c>
      <c r="F248" s="221">
        <f t="shared" si="384"/>
        <v>6.4000000000000001E-2</v>
      </c>
      <c r="G248" s="221">
        <f t="shared" ref="G248:G279" si="388">IF(PLOT_TYPE=1, E248/100*Iout2, min_I*EXP(Q248*rr/100))</f>
        <v>3.2000000000000001E-2</v>
      </c>
      <c r="H248" s="221">
        <f t="shared" ref="H248:H279" si="389">F248*Vout</f>
        <v>1.024</v>
      </c>
      <c r="I248" s="221">
        <f t="shared" ref="I248:I279" si="390">Vout2*G248</f>
        <v>0.51200000000000001</v>
      </c>
      <c r="J248" s="551">
        <f t="shared" si="356"/>
        <v>48</v>
      </c>
      <c r="K248" s="451">
        <f t="shared" si="357"/>
        <v>19.584</v>
      </c>
      <c r="L248" s="451">
        <f t="shared" si="358"/>
        <v>67.584000000000003</v>
      </c>
      <c r="M248" s="451"/>
      <c r="N248" s="221">
        <f t="shared" si="359"/>
        <v>0.28977272727272724</v>
      </c>
      <c r="O248" s="176">
        <f t="shared" ref="O248:O279" si="391">N248*J248*Isw_max*0.5*Efficiency*Pout/(Pout+Pout2)</f>
        <v>6.259090909090907</v>
      </c>
      <c r="P248" s="176">
        <f t="shared" ref="P248:P279" si="392">N248*J248*Isw_max*0.5*Efficiency*(Pout2/Pout_total)</f>
        <v>3.129545454545454</v>
      </c>
      <c r="Q248" s="221">
        <f t="shared" si="362"/>
        <v>0.39119318181818169</v>
      </c>
      <c r="R248" s="221">
        <f t="shared" ref="R248:R279" si="393">O248/Vout2</f>
        <v>0.39119318181818169</v>
      </c>
      <c r="S248" s="221">
        <f t="shared" ref="S248:S279" si="394">MIN(Vout,O248/F248)</f>
        <v>16</v>
      </c>
      <c r="T248" s="221">
        <f t="shared" ref="T248:T279" si="395">MIN(2*(Vout*F248+Vout2*G248)/(Efficiency*J248*N248), Isw_max)</f>
        <v>0.24540305010893249</v>
      </c>
      <c r="U248" s="221">
        <f t="shared" si="366"/>
        <v>0.15337690631808279</v>
      </c>
      <c r="V248" s="221">
        <f t="shared" si="367"/>
        <v>0.37592378999530102</v>
      </c>
      <c r="W248" s="201">
        <f t="shared" si="368"/>
        <v>350</v>
      </c>
      <c r="X248" s="451">
        <f t="shared" si="369"/>
        <v>350</v>
      </c>
      <c r="Z248" s="221">
        <f t="shared" si="370"/>
        <v>1.3246753246753247</v>
      </c>
      <c r="AA248" s="177">
        <f t="shared" si="371"/>
        <v>2.029220779220779</v>
      </c>
      <c r="AB248" s="177">
        <f t="shared" ref="AB248:AB279" si="396">0.5*AA248*Z248*Nps*W248/1000*(Pout/(Pout+Pout2))</f>
        <v>0.37632821723730803</v>
      </c>
      <c r="AC248" s="177"/>
      <c r="AD248" s="177">
        <f t="shared" si="373"/>
        <v>0.4595588235294118</v>
      </c>
      <c r="AE248" s="555">
        <f t="shared" ref="AE248:AE279" si="397">MAX(10, F248/(0.5*AD248/1000000*Isw_min*Nps)/1000*Pout_total/Pout)</f>
        <v>1160.5333333333335</v>
      </c>
      <c r="AF248" s="538">
        <f t="shared" ref="AF248:AF279" si="398">0.5*AD248/1000000*Isw_min*Nps*W248*1000*(Pout/Pout_total)</f>
        <v>1.9301470588235291E-2</v>
      </c>
      <c r="AH248" s="177">
        <f t="shared" ref="AH248:AH279" si="399">SQRT((H248+I248)/(0.5*L*Fsw_DCM))</f>
        <v>0.54089872302625064</v>
      </c>
      <c r="AI248" s="177">
        <f t="shared" ref="AI248:AI279" si="400">MAX(IF(F248&gt;AB248,T248,AH248),Isw_min)</f>
        <v>0.54089872302625064</v>
      </c>
      <c r="AJ248" s="177">
        <f t="shared" ref="AJ248:AJ279" si="401">IF(F248&gt;AF248, (AI248-Isw_min)/1.08*0.8+1.2, AE248*0.2/350+1)</f>
        <v>1.3784434985379634</v>
      </c>
      <c r="AL248" s="555">
        <f t="shared" ref="AL248:AL279" si="402">F248*1000</f>
        <v>64</v>
      </c>
      <c r="AM248" s="469">
        <f t="shared" ref="AM248:AM279" si="403">IF(F248&gt;AF248, X248, AE248)</f>
        <v>350</v>
      </c>
      <c r="AO248">
        <f t="shared" si="381"/>
        <v>64</v>
      </c>
      <c r="AP248">
        <f t="shared" si="382"/>
        <v>350</v>
      </c>
      <c r="AR248" s="5">
        <f t="shared" si="343"/>
        <v>2.8571428571428572</v>
      </c>
      <c r="AS248" s="5">
        <f t="shared" si="385"/>
        <v>0.33806170189140672</v>
      </c>
      <c r="AT248" s="5">
        <f t="shared" si="386"/>
        <v>2.5190811552514507</v>
      </c>
      <c r="AU248" s="177">
        <f t="shared" si="387"/>
        <v>0.11832159566199235</v>
      </c>
      <c r="CI248" s="571">
        <f t="shared" ref="CI248:CI279" si="404">IF(ABS(F248-Ioutmax_Vinmax)&lt;Iout/200, AM248, -50)</f>
        <v>-50</v>
      </c>
    </row>
    <row r="249" spans="5:87" x14ac:dyDescent="0.25">
      <c r="E249" s="174">
        <v>33</v>
      </c>
      <c r="F249" s="221">
        <f t="shared" ref="F249:F280" si="405">IF(PLOT_TYPE=1, E249/100*Iout_max, min_I*EXP(O249*rr/100))</f>
        <v>6.6000000000000003E-2</v>
      </c>
      <c r="G249" s="221">
        <f t="shared" si="388"/>
        <v>3.3000000000000002E-2</v>
      </c>
      <c r="H249" s="221">
        <f t="shared" si="389"/>
        <v>1.056</v>
      </c>
      <c r="I249" s="221">
        <f t="shared" si="390"/>
        <v>0.52800000000000002</v>
      </c>
      <c r="J249" s="551">
        <f t="shared" si="356"/>
        <v>48</v>
      </c>
      <c r="K249" s="451">
        <f t="shared" si="357"/>
        <v>19.584</v>
      </c>
      <c r="L249" s="451">
        <f t="shared" si="358"/>
        <v>67.584000000000003</v>
      </c>
      <c r="M249" s="451"/>
      <c r="N249" s="221">
        <f t="shared" si="359"/>
        <v>0.28977272727272724</v>
      </c>
      <c r="O249" s="176">
        <f t="shared" si="391"/>
        <v>6.259090909090907</v>
      </c>
      <c r="P249" s="176">
        <f t="shared" si="392"/>
        <v>3.129545454545454</v>
      </c>
      <c r="Q249" s="221">
        <f t="shared" si="362"/>
        <v>0.39119318181818169</v>
      </c>
      <c r="R249" s="221">
        <f t="shared" si="393"/>
        <v>0.39119318181818169</v>
      </c>
      <c r="S249" s="221">
        <f t="shared" si="394"/>
        <v>16</v>
      </c>
      <c r="T249" s="221">
        <f t="shared" si="395"/>
        <v>0.2530718954248366</v>
      </c>
      <c r="U249" s="221">
        <f t="shared" si="366"/>
        <v>0.15816993464052287</v>
      </c>
      <c r="V249" s="221">
        <f t="shared" si="367"/>
        <v>0.38767140843265413</v>
      </c>
      <c r="W249" s="201">
        <f t="shared" si="368"/>
        <v>350</v>
      </c>
      <c r="X249" s="451">
        <f t="shared" si="369"/>
        <v>350</v>
      </c>
      <c r="Z249" s="221">
        <f t="shared" si="370"/>
        <v>1.3246753246753247</v>
      </c>
      <c r="AA249" s="177">
        <f t="shared" si="371"/>
        <v>2.029220779220779</v>
      </c>
      <c r="AB249" s="177">
        <f t="shared" si="396"/>
        <v>0.37632821723730803</v>
      </c>
      <c r="AC249" s="177"/>
      <c r="AD249" s="177">
        <f t="shared" si="373"/>
        <v>0.4595588235294118</v>
      </c>
      <c r="AE249" s="555">
        <f t="shared" si="397"/>
        <v>1196.8000000000002</v>
      </c>
      <c r="AF249" s="538">
        <f t="shared" si="398"/>
        <v>1.9301470588235291E-2</v>
      </c>
      <c r="AH249" s="177">
        <f t="shared" si="399"/>
        <v>0.54928524986047611</v>
      </c>
      <c r="AI249" s="177">
        <f t="shared" si="400"/>
        <v>0.54928524986047611</v>
      </c>
      <c r="AJ249" s="177">
        <f t="shared" si="401"/>
        <v>1.3846557406373896</v>
      </c>
      <c r="AL249" s="555">
        <f t="shared" si="402"/>
        <v>66</v>
      </c>
      <c r="AM249" s="469">
        <f t="shared" si="403"/>
        <v>350</v>
      </c>
      <c r="AO249">
        <f t="shared" si="381"/>
        <v>66</v>
      </c>
      <c r="AP249">
        <f t="shared" si="382"/>
        <v>350</v>
      </c>
      <c r="AR249" s="5">
        <f t="shared" si="343"/>
        <v>2.8571428571428572</v>
      </c>
      <c r="AS249" s="5">
        <f t="shared" si="385"/>
        <v>0.34330328116279757</v>
      </c>
      <c r="AT249" s="5">
        <f t="shared" si="386"/>
        <v>2.5138395759800596</v>
      </c>
      <c r="AU249" s="177">
        <f t="shared" si="387"/>
        <v>0.12015614840697915</v>
      </c>
      <c r="CI249" s="571">
        <f t="shared" si="404"/>
        <v>-50</v>
      </c>
    </row>
    <row r="250" spans="5:87" x14ac:dyDescent="0.25">
      <c r="E250" s="174">
        <v>34</v>
      </c>
      <c r="F250" s="221">
        <f t="shared" si="405"/>
        <v>6.8000000000000005E-2</v>
      </c>
      <c r="G250" s="221">
        <f t="shared" si="388"/>
        <v>3.4000000000000002E-2</v>
      </c>
      <c r="H250" s="221">
        <f t="shared" si="389"/>
        <v>1.0880000000000001</v>
      </c>
      <c r="I250" s="221">
        <f t="shared" si="390"/>
        <v>0.54400000000000004</v>
      </c>
      <c r="J250" s="551">
        <f t="shared" si="356"/>
        <v>48</v>
      </c>
      <c r="K250" s="451">
        <f t="shared" si="357"/>
        <v>19.584</v>
      </c>
      <c r="L250" s="451">
        <f t="shared" si="358"/>
        <v>67.584000000000003</v>
      </c>
      <c r="M250" s="451"/>
      <c r="N250" s="221">
        <f t="shared" si="359"/>
        <v>0.28977272727272724</v>
      </c>
      <c r="O250" s="176">
        <f t="shared" si="391"/>
        <v>6.259090909090907</v>
      </c>
      <c r="P250" s="176">
        <f t="shared" si="392"/>
        <v>3.129545454545454</v>
      </c>
      <c r="Q250" s="221">
        <f t="shared" si="362"/>
        <v>0.39119318181818169</v>
      </c>
      <c r="R250" s="221">
        <f t="shared" si="393"/>
        <v>0.39119318181818169</v>
      </c>
      <c r="S250" s="221">
        <f t="shared" si="394"/>
        <v>16</v>
      </c>
      <c r="T250" s="221">
        <f t="shared" si="395"/>
        <v>0.26074074074074077</v>
      </c>
      <c r="U250" s="221">
        <f t="shared" si="366"/>
        <v>0.162962962962963</v>
      </c>
      <c r="V250" s="221">
        <f t="shared" si="367"/>
        <v>0.39941902687000735</v>
      </c>
      <c r="W250" s="201">
        <f t="shared" si="368"/>
        <v>350</v>
      </c>
      <c r="X250" s="451">
        <f t="shared" si="369"/>
        <v>350</v>
      </c>
      <c r="Z250" s="221">
        <f t="shared" si="370"/>
        <v>1.3246753246753247</v>
      </c>
      <c r="AA250" s="177">
        <f t="shared" si="371"/>
        <v>2.029220779220779</v>
      </c>
      <c r="AB250" s="177">
        <f t="shared" si="396"/>
        <v>0.37632821723730803</v>
      </c>
      <c r="AC250" s="177"/>
      <c r="AD250" s="177">
        <f t="shared" si="373"/>
        <v>0.4595588235294118</v>
      </c>
      <c r="AE250" s="555">
        <f t="shared" si="397"/>
        <v>1233.0666666666668</v>
      </c>
      <c r="AF250" s="538">
        <f t="shared" si="398"/>
        <v>1.9301470588235291E-2</v>
      </c>
      <c r="AH250" s="177">
        <f t="shared" si="399"/>
        <v>0.55754564194973566</v>
      </c>
      <c r="AI250" s="177">
        <f t="shared" si="400"/>
        <v>0.55754564194973566</v>
      </c>
      <c r="AJ250" s="177">
        <f t="shared" si="401"/>
        <v>1.3907745495923969</v>
      </c>
      <c r="AL250" s="555">
        <f t="shared" si="402"/>
        <v>68</v>
      </c>
      <c r="AM250" s="469">
        <f t="shared" si="403"/>
        <v>350</v>
      </c>
      <c r="AO250">
        <f t="shared" si="381"/>
        <v>68</v>
      </c>
      <c r="AP250">
        <f t="shared" si="382"/>
        <v>350</v>
      </c>
      <c r="AR250" s="5">
        <f t="shared" si="343"/>
        <v>2.8571428571428572</v>
      </c>
      <c r="AS250" s="5">
        <f t="shared" si="385"/>
        <v>0.3484660262185848</v>
      </c>
      <c r="AT250" s="5">
        <f t="shared" si="386"/>
        <v>2.5086768309242724</v>
      </c>
      <c r="AU250" s="177">
        <f t="shared" si="387"/>
        <v>0.12196310917650467</v>
      </c>
      <c r="CI250" s="571">
        <f t="shared" si="404"/>
        <v>-50</v>
      </c>
    </row>
    <row r="251" spans="5:87" x14ac:dyDescent="0.25">
      <c r="E251" s="174">
        <v>35</v>
      </c>
      <c r="F251" s="221">
        <f t="shared" si="405"/>
        <v>6.9999999999999993E-2</v>
      </c>
      <c r="G251" s="221">
        <f t="shared" si="388"/>
        <v>3.4999999999999996E-2</v>
      </c>
      <c r="H251" s="221">
        <f t="shared" si="389"/>
        <v>1.1199999999999999</v>
      </c>
      <c r="I251" s="221">
        <f t="shared" si="390"/>
        <v>0.55999999999999994</v>
      </c>
      <c r="J251" s="551">
        <f t="shared" si="356"/>
        <v>48</v>
      </c>
      <c r="K251" s="451">
        <f t="shared" si="357"/>
        <v>19.584</v>
      </c>
      <c r="L251" s="451">
        <f t="shared" si="358"/>
        <v>67.584000000000003</v>
      </c>
      <c r="M251" s="451"/>
      <c r="N251" s="221">
        <f t="shared" si="359"/>
        <v>0.28977272727272724</v>
      </c>
      <c r="O251" s="176">
        <f t="shared" si="391"/>
        <v>6.259090909090907</v>
      </c>
      <c r="P251" s="176">
        <f t="shared" si="392"/>
        <v>3.129545454545454</v>
      </c>
      <c r="Q251" s="221">
        <f t="shared" si="362"/>
        <v>0.39119318181818169</v>
      </c>
      <c r="R251" s="221">
        <f t="shared" si="393"/>
        <v>0.39119318181818169</v>
      </c>
      <c r="S251" s="221">
        <f t="shared" si="394"/>
        <v>16</v>
      </c>
      <c r="T251" s="221">
        <f t="shared" si="395"/>
        <v>0.26840958605664483</v>
      </c>
      <c r="U251" s="221">
        <f t="shared" si="366"/>
        <v>0.16775599128540303</v>
      </c>
      <c r="V251" s="221">
        <f t="shared" si="367"/>
        <v>0.41116664530736036</v>
      </c>
      <c r="W251" s="201">
        <f t="shared" si="368"/>
        <v>350</v>
      </c>
      <c r="X251" s="451">
        <f t="shared" si="369"/>
        <v>350</v>
      </c>
      <c r="Z251" s="221">
        <f t="shared" si="370"/>
        <v>1.3246753246753247</v>
      </c>
      <c r="AA251" s="177">
        <f t="shared" si="371"/>
        <v>2.029220779220779</v>
      </c>
      <c r="AB251" s="177">
        <f t="shared" si="396"/>
        <v>0.37632821723730803</v>
      </c>
      <c r="AC251" s="177"/>
      <c r="AD251" s="177">
        <f t="shared" si="373"/>
        <v>0.4595588235294118</v>
      </c>
      <c r="AE251" s="555">
        <f t="shared" si="397"/>
        <v>1269.3333333333335</v>
      </c>
      <c r="AF251" s="538">
        <f t="shared" si="398"/>
        <v>1.9301470588235291E-2</v>
      </c>
      <c r="AH251" s="177">
        <f t="shared" si="399"/>
        <v>0.56568542494923801</v>
      </c>
      <c r="AI251" s="177">
        <f t="shared" si="400"/>
        <v>0.56568542494923801</v>
      </c>
      <c r="AJ251" s="177">
        <f t="shared" si="401"/>
        <v>1.396804018480917</v>
      </c>
      <c r="AL251" s="555">
        <f t="shared" si="402"/>
        <v>69.999999999999986</v>
      </c>
      <c r="AM251" s="469">
        <f t="shared" si="403"/>
        <v>350</v>
      </c>
      <c r="AO251">
        <f t="shared" si="381"/>
        <v>69.999999999999986</v>
      </c>
      <c r="AP251">
        <f t="shared" si="382"/>
        <v>350</v>
      </c>
      <c r="AR251" s="5">
        <f t="shared" si="343"/>
        <v>2.8571428571428572</v>
      </c>
      <c r="AS251" s="5">
        <f t="shared" si="385"/>
        <v>0.35355339059327373</v>
      </c>
      <c r="AT251" s="5">
        <f t="shared" si="386"/>
        <v>2.5035894665495837</v>
      </c>
      <c r="AU251" s="177">
        <f t="shared" si="387"/>
        <v>0.12374368670764581</v>
      </c>
      <c r="CI251" s="571">
        <f t="shared" si="404"/>
        <v>-50</v>
      </c>
    </row>
    <row r="252" spans="5:87" x14ac:dyDescent="0.25">
      <c r="E252" s="174">
        <v>36</v>
      </c>
      <c r="F252" s="221">
        <f t="shared" si="405"/>
        <v>7.1999999999999995E-2</v>
      </c>
      <c r="G252" s="221">
        <f t="shared" si="388"/>
        <v>3.5999999999999997E-2</v>
      </c>
      <c r="H252" s="221">
        <f t="shared" si="389"/>
        <v>1.1519999999999999</v>
      </c>
      <c r="I252" s="221">
        <f t="shared" si="390"/>
        <v>0.57599999999999996</v>
      </c>
      <c r="J252" s="551">
        <f t="shared" si="356"/>
        <v>48</v>
      </c>
      <c r="K252" s="451">
        <f t="shared" si="357"/>
        <v>19.584</v>
      </c>
      <c r="L252" s="451">
        <f t="shared" si="358"/>
        <v>67.584000000000003</v>
      </c>
      <c r="M252" s="451"/>
      <c r="N252" s="221">
        <f t="shared" si="359"/>
        <v>0.28977272727272724</v>
      </c>
      <c r="O252" s="176">
        <f t="shared" si="391"/>
        <v>6.259090909090907</v>
      </c>
      <c r="P252" s="176">
        <f t="shared" si="392"/>
        <v>3.129545454545454</v>
      </c>
      <c r="Q252" s="221">
        <f t="shared" si="362"/>
        <v>0.39119318181818169</v>
      </c>
      <c r="R252" s="221">
        <f t="shared" si="393"/>
        <v>0.39119318181818169</v>
      </c>
      <c r="S252" s="221">
        <f t="shared" si="394"/>
        <v>16</v>
      </c>
      <c r="T252" s="221">
        <f t="shared" si="395"/>
        <v>0.276078431372549</v>
      </c>
      <c r="U252" s="221">
        <f t="shared" si="366"/>
        <v>0.17254901960784313</v>
      </c>
      <c r="V252" s="221">
        <f t="shared" si="367"/>
        <v>0.42291426374471364</v>
      </c>
      <c r="W252" s="201">
        <f t="shared" si="368"/>
        <v>350</v>
      </c>
      <c r="X252" s="451">
        <f t="shared" si="369"/>
        <v>350</v>
      </c>
      <c r="Z252" s="221">
        <f t="shared" si="370"/>
        <v>1.3246753246753247</v>
      </c>
      <c r="AA252" s="177">
        <f t="shared" si="371"/>
        <v>2.029220779220779</v>
      </c>
      <c r="AB252" s="177">
        <f t="shared" si="396"/>
        <v>0.37632821723730803</v>
      </c>
      <c r="AC252" s="177"/>
      <c r="AD252" s="177">
        <f t="shared" si="373"/>
        <v>0.4595588235294118</v>
      </c>
      <c r="AE252" s="555">
        <f t="shared" si="397"/>
        <v>1305.5999999999999</v>
      </c>
      <c r="AF252" s="538">
        <f t="shared" si="398"/>
        <v>1.9301470588235291E-2</v>
      </c>
      <c r="AH252" s="177">
        <f t="shared" si="399"/>
        <v>0.57370973248050894</v>
      </c>
      <c r="AI252" s="177">
        <f t="shared" si="400"/>
        <v>0.57370973248050894</v>
      </c>
      <c r="AJ252" s="177">
        <f t="shared" si="401"/>
        <v>1.4027479499855622</v>
      </c>
      <c r="AL252" s="555">
        <f t="shared" si="402"/>
        <v>72</v>
      </c>
      <c r="AM252" s="469">
        <f t="shared" si="403"/>
        <v>350</v>
      </c>
      <c r="AO252">
        <f t="shared" si="381"/>
        <v>72</v>
      </c>
      <c r="AP252">
        <f t="shared" si="382"/>
        <v>350</v>
      </c>
      <c r="AR252" s="5">
        <f t="shared" si="343"/>
        <v>2.8571428571428572</v>
      </c>
      <c r="AS252" s="5">
        <f t="shared" si="385"/>
        <v>0.35856858280031806</v>
      </c>
      <c r="AT252" s="5">
        <f t="shared" si="386"/>
        <v>2.498574274342539</v>
      </c>
      <c r="AU252" s="177">
        <f t="shared" si="387"/>
        <v>0.12549900398011132</v>
      </c>
      <c r="CI252" s="571">
        <f t="shared" si="404"/>
        <v>-50</v>
      </c>
    </row>
    <row r="253" spans="5:87" x14ac:dyDescent="0.25">
      <c r="E253" s="174">
        <v>37</v>
      </c>
      <c r="F253" s="221">
        <f t="shared" si="405"/>
        <v>7.3999999999999996E-2</v>
      </c>
      <c r="G253" s="221">
        <f t="shared" si="388"/>
        <v>3.6999999999999998E-2</v>
      </c>
      <c r="H253" s="221">
        <f t="shared" si="389"/>
        <v>1.1839999999999999</v>
      </c>
      <c r="I253" s="221">
        <f t="shared" si="390"/>
        <v>0.59199999999999997</v>
      </c>
      <c r="J253" s="551">
        <f t="shared" si="356"/>
        <v>48</v>
      </c>
      <c r="K253" s="451">
        <f t="shared" si="357"/>
        <v>19.584</v>
      </c>
      <c r="L253" s="451">
        <f t="shared" si="358"/>
        <v>67.584000000000003</v>
      </c>
      <c r="M253" s="451"/>
      <c r="N253" s="221">
        <f t="shared" si="359"/>
        <v>0.28977272727272724</v>
      </c>
      <c r="O253" s="176">
        <f t="shared" si="391"/>
        <v>6.259090909090907</v>
      </c>
      <c r="P253" s="176">
        <f t="shared" si="392"/>
        <v>3.129545454545454</v>
      </c>
      <c r="Q253" s="221">
        <f t="shared" si="362"/>
        <v>0.39119318181818169</v>
      </c>
      <c r="R253" s="221">
        <f t="shared" si="393"/>
        <v>0.39119318181818169</v>
      </c>
      <c r="S253" s="221">
        <f t="shared" si="394"/>
        <v>16</v>
      </c>
      <c r="T253" s="221">
        <f t="shared" si="395"/>
        <v>0.28374727668845312</v>
      </c>
      <c r="U253" s="221">
        <f t="shared" si="366"/>
        <v>0.17734204793028319</v>
      </c>
      <c r="V253" s="221">
        <f t="shared" si="367"/>
        <v>0.43466188218206664</v>
      </c>
      <c r="W253" s="201">
        <f t="shared" si="368"/>
        <v>350</v>
      </c>
      <c r="X253" s="451">
        <f t="shared" si="369"/>
        <v>350</v>
      </c>
      <c r="Z253" s="221">
        <f t="shared" si="370"/>
        <v>1.3246753246753247</v>
      </c>
      <c r="AA253" s="177">
        <f t="shared" si="371"/>
        <v>2.029220779220779</v>
      </c>
      <c r="AB253" s="177">
        <f t="shared" si="396"/>
        <v>0.37632821723730803</v>
      </c>
      <c r="AC253" s="177"/>
      <c r="AD253" s="177">
        <f t="shared" si="373"/>
        <v>0.4595588235294118</v>
      </c>
      <c r="AE253" s="555">
        <f t="shared" si="397"/>
        <v>1341.8666666666668</v>
      </c>
      <c r="AF253" s="538">
        <f t="shared" si="398"/>
        <v>1.9301470588235291E-2</v>
      </c>
      <c r="AH253" s="177">
        <f t="shared" si="399"/>
        <v>0.58162334399997584</v>
      </c>
      <c r="AI253" s="177">
        <f t="shared" si="400"/>
        <v>0.58162334399997584</v>
      </c>
      <c r="AJ253" s="177">
        <f t="shared" si="401"/>
        <v>1.4086098844444266</v>
      </c>
      <c r="AL253" s="555">
        <f t="shared" si="402"/>
        <v>74</v>
      </c>
      <c r="AM253" s="469">
        <f t="shared" si="403"/>
        <v>350</v>
      </c>
      <c r="AO253">
        <f t="shared" si="381"/>
        <v>74</v>
      </c>
      <c r="AP253">
        <f t="shared" si="382"/>
        <v>350</v>
      </c>
      <c r="AR253" s="5">
        <f t="shared" si="343"/>
        <v>2.8571428571428572</v>
      </c>
      <c r="AS253" s="5">
        <f t="shared" si="385"/>
        <v>0.36351458999998493</v>
      </c>
      <c r="AT253" s="5">
        <f t="shared" si="386"/>
        <v>2.4936282671428724</v>
      </c>
      <c r="AU253" s="177">
        <f t="shared" si="387"/>
        <v>0.12723010649999472</v>
      </c>
      <c r="CI253" s="571">
        <f t="shared" si="404"/>
        <v>-50</v>
      </c>
    </row>
    <row r="254" spans="5:87" x14ac:dyDescent="0.25">
      <c r="E254" s="174">
        <v>38</v>
      </c>
      <c r="F254" s="221">
        <f t="shared" si="405"/>
        <v>7.6000000000000012E-2</v>
      </c>
      <c r="G254" s="221">
        <f t="shared" si="388"/>
        <v>3.8000000000000006E-2</v>
      </c>
      <c r="H254" s="221">
        <f t="shared" si="389"/>
        <v>1.2160000000000002</v>
      </c>
      <c r="I254" s="221">
        <f t="shared" si="390"/>
        <v>0.6080000000000001</v>
      </c>
      <c r="J254" s="551">
        <f t="shared" si="356"/>
        <v>48</v>
      </c>
      <c r="K254" s="451">
        <f t="shared" si="357"/>
        <v>19.584</v>
      </c>
      <c r="L254" s="451">
        <f t="shared" si="358"/>
        <v>67.584000000000003</v>
      </c>
      <c r="M254" s="451"/>
      <c r="N254" s="221">
        <f t="shared" si="359"/>
        <v>0.28977272727272724</v>
      </c>
      <c r="O254" s="176">
        <f t="shared" si="391"/>
        <v>6.259090909090907</v>
      </c>
      <c r="P254" s="176">
        <f t="shared" si="392"/>
        <v>3.129545454545454</v>
      </c>
      <c r="Q254" s="221">
        <f t="shared" si="362"/>
        <v>0.39119318181818169</v>
      </c>
      <c r="R254" s="221">
        <f t="shared" si="393"/>
        <v>0.39119318181818169</v>
      </c>
      <c r="S254" s="221">
        <f t="shared" si="394"/>
        <v>16</v>
      </c>
      <c r="T254" s="221">
        <f t="shared" si="395"/>
        <v>0.29141612200435735</v>
      </c>
      <c r="U254" s="221">
        <f t="shared" si="366"/>
        <v>0.18213507625272338</v>
      </c>
      <c r="V254" s="221">
        <f t="shared" si="367"/>
        <v>0.44640950061941997</v>
      </c>
      <c r="W254" s="201">
        <f t="shared" si="368"/>
        <v>350</v>
      </c>
      <c r="X254" s="451">
        <f t="shared" si="369"/>
        <v>350</v>
      </c>
      <c r="Z254" s="221">
        <f t="shared" si="370"/>
        <v>1.3246753246753247</v>
      </c>
      <c r="AA254" s="177">
        <f t="shared" si="371"/>
        <v>2.029220779220779</v>
      </c>
      <c r="AB254" s="177">
        <f t="shared" si="396"/>
        <v>0.37632821723730803</v>
      </c>
      <c r="AC254" s="177"/>
      <c r="AD254" s="177">
        <f t="shared" si="373"/>
        <v>0.4595588235294118</v>
      </c>
      <c r="AE254" s="555">
        <f t="shared" si="397"/>
        <v>1378.1333333333339</v>
      </c>
      <c r="AF254" s="538">
        <f t="shared" si="398"/>
        <v>1.9301470588235291E-2</v>
      </c>
      <c r="AH254" s="177">
        <f t="shared" si="399"/>
        <v>0.58943071809040581</v>
      </c>
      <c r="AI254" s="177">
        <f t="shared" si="400"/>
        <v>0.58943071809040581</v>
      </c>
      <c r="AJ254" s="177">
        <f t="shared" si="401"/>
        <v>1.4143931245114116</v>
      </c>
      <c r="AL254" s="555">
        <f t="shared" si="402"/>
        <v>76.000000000000014</v>
      </c>
      <c r="AM254" s="469">
        <f t="shared" si="403"/>
        <v>350</v>
      </c>
      <c r="AO254">
        <f t="shared" si="381"/>
        <v>76.000000000000014</v>
      </c>
      <c r="AP254">
        <f t="shared" si="382"/>
        <v>350</v>
      </c>
      <c r="AR254" s="5">
        <f t="shared" si="343"/>
        <v>2.8571428571428572</v>
      </c>
      <c r="AS254" s="5">
        <f t="shared" si="385"/>
        <v>0.36839419880650359</v>
      </c>
      <c r="AT254" s="5">
        <f t="shared" si="386"/>
        <v>2.4887486583363536</v>
      </c>
      <c r="AU254" s="177">
        <f t="shared" si="387"/>
        <v>0.12893796958227624</v>
      </c>
      <c r="CI254" s="571">
        <f t="shared" si="404"/>
        <v>-50</v>
      </c>
    </row>
    <row r="255" spans="5:87" x14ac:dyDescent="0.25">
      <c r="E255" s="174">
        <v>39</v>
      </c>
      <c r="F255" s="221">
        <f t="shared" si="405"/>
        <v>7.8000000000000014E-2</v>
      </c>
      <c r="G255" s="221">
        <f t="shared" si="388"/>
        <v>3.9000000000000007E-2</v>
      </c>
      <c r="H255" s="221">
        <f t="shared" si="389"/>
        <v>1.2480000000000002</v>
      </c>
      <c r="I255" s="221">
        <f t="shared" si="390"/>
        <v>0.62400000000000011</v>
      </c>
      <c r="J255" s="551">
        <f t="shared" si="356"/>
        <v>48</v>
      </c>
      <c r="K255" s="451">
        <f t="shared" si="357"/>
        <v>19.584</v>
      </c>
      <c r="L255" s="451">
        <f t="shared" si="358"/>
        <v>67.584000000000003</v>
      </c>
      <c r="M255" s="451"/>
      <c r="N255" s="221">
        <f t="shared" si="359"/>
        <v>0.28977272727272724</v>
      </c>
      <c r="O255" s="176">
        <f t="shared" si="391"/>
        <v>6.259090909090907</v>
      </c>
      <c r="P255" s="176">
        <f t="shared" si="392"/>
        <v>3.129545454545454</v>
      </c>
      <c r="Q255" s="221">
        <f t="shared" si="362"/>
        <v>0.39119318181818169</v>
      </c>
      <c r="R255" s="221">
        <f t="shared" si="393"/>
        <v>0.39119318181818169</v>
      </c>
      <c r="S255" s="221">
        <f t="shared" si="394"/>
        <v>16</v>
      </c>
      <c r="T255" s="221">
        <f t="shared" si="395"/>
        <v>0.29908496732026152</v>
      </c>
      <c r="U255" s="221">
        <f t="shared" si="366"/>
        <v>0.18692810457516346</v>
      </c>
      <c r="V255" s="221">
        <f t="shared" si="367"/>
        <v>0.4581571190567732</v>
      </c>
      <c r="W255" s="201">
        <f t="shared" si="368"/>
        <v>350</v>
      </c>
      <c r="X255" s="451">
        <f t="shared" si="369"/>
        <v>350</v>
      </c>
      <c r="Z255" s="221">
        <f t="shared" si="370"/>
        <v>1.3246753246753247</v>
      </c>
      <c r="AA255" s="177">
        <f t="shared" si="371"/>
        <v>2.029220779220779</v>
      </c>
      <c r="AB255" s="177">
        <f t="shared" si="396"/>
        <v>0.37632821723730803</v>
      </c>
      <c r="AC255" s="177"/>
      <c r="AD255" s="177">
        <f t="shared" si="373"/>
        <v>0.4595588235294118</v>
      </c>
      <c r="AE255" s="555">
        <f t="shared" si="397"/>
        <v>1414.4000000000005</v>
      </c>
      <c r="AF255" s="538">
        <f t="shared" si="398"/>
        <v>1.9301470588235291E-2</v>
      </c>
      <c r="AH255" s="177">
        <f t="shared" si="399"/>
        <v>0.59713602183374326</v>
      </c>
      <c r="AI255" s="177">
        <f t="shared" si="400"/>
        <v>0.59713602183374326</v>
      </c>
      <c r="AJ255" s="177">
        <f t="shared" si="401"/>
        <v>1.4201007569138839</v>
      </c>
      <c r="AL255" s="555">
        <f t="shared" si="402"/>
        <v>78.000000000000014</v>
      </c>
      <c r="AM255" s="469">
        <f t="shared" si="403"/>
        <v>350</v>
      </c>
      <c r="AO255">
        <f t="shared" si="381"/>
        <v>78.000000000000014</v>
      </c>
      <c r="AP255">
        <f t="shared" si="382"/>
        <v>350</v>
      </c>
      <c r="AR255" s="5">
        <f t="shared" si="343"/>
        <v>2.8571428571428572</v>
      </c>
      <c r="AS255" s="5">
        <f t="shared" si="385"/>
        <v>0.37321001364608958</v>
      </c>
      <c r="AT255" s="5">
        <f t="shared" si="386"/>
        <v>2.4839328434967678</v>
      </c>
      <c r="AU255" s="177">
        <f t="shared" si="387"/>
        <v>0.13062350477613136</v>
      </c>
      <c r="CI255" s="571">
        <f t="shared" si="404"/>
        <v>-50</v>
      </c>
    </row>
    <row r="256" spans="5:87" x14ac:dyDescent="0.25">
      <c r="E256" s="174">
        <v>40</v>
      </c>
      <c r="F256" s="221">
        <f t="shared" si="405"/>
        <v>8.0000000000000016E-2</v>
      </c>
      <c r="G256" s="221">
        <f t="shared" si="388"/>
        <v>4.0000000000000008E-2</v>
      </c>
      <c r="H256" s="221">
        <f t="shared" si="389"/>
        <v>1.2800000000000002</v>
      </c>
      <c r="I256" s="221">
        <f t="shared" si="390"/>
        <v>0.64000000000000012</v>
      </c>
      <c r="J256" s="551">
        <f t="shared" si="356"/>
        <v>48</v>
      </c>
      <c r="K256" s="451">
        <f t="shared" si="357"/>
        <v>19.584</v>
      </c>
      <c r="L256" s="451">
        <f t="shared" si="358"/>
        <v>67.584000000000003</v>
      </c>
      <c r="M256" s="451"/>
      <c r="N256" s="221">
        <f t="shared" si="359"/>
        <v>0.28977272727272724</v>
      </c>
      <c r="O256" s="176">
        <f t="shared" si="391"/>
        <v>6.259090909090907</v>
      </c>
      <c r="P256" s="176">
        <f t="shared" si="392"/>
        <v>3.129545454545454</v>
      </c>
      <c r="Q256" s="221">
        <f t="shared" si="362"/>
        <v>0.39119318181818169</v>
      </c>
      <c r="R256" s="221">
        <f t="shared" si="393"/>
        <v>0.39119318181818169</v>
      </c>
      <c r="S256" s="221">
        <f t="shared" si="394"/>
        <v>16</v>
      </c>
      <c r="T256" s="221">
        <f t="shared" si="395"/>
        <v>0.30675381263616563</v>
      </c>
      <c r="U256" s="221">
        <f t="shared" si="366"/>
        <v>0.19172113289760354</v>
      </c>
      <c r="V256" s="221">
        <f t="shared" si="367"/>
        <v>0.46990473749412631</v>
      </c>
      <c r="W256" s="201">
        <f t="shared" si="368"/>
        <v>350</v>
      </c>
      <c r="X256" s="451">
        <f t="shared" si="369"/>
        <v>350</v>
      </c>
      <c r="Z256" s="221">
        <f t="shared" si="370"/>
        <v>1.3246753246753247</v>
      </c>
      <c r="AA256" s="177">
        <f t="shared" si="371"/>
        <v>2.029220779220779</v>
      </c>
      <c r="AB256" s="177">
        <f t="shared" si="396"/>
        <v>0.37632821723730803</v>
      </c>
      <c r="AC256" s="177"/>
      <c r="AD256" s="177">
        <f t="shared" si="373"/>
        <v>0.4595588235294118</v>
      </c>
      <c r="AE256" s="555">
        <f t="shared" si="397"/>
        <v>1450.6666666666672</v>
      </c>
      <c r="AF256" s="538">
        <f t="shared" si="398"/>
        <v>1.9301470588235291E-2</v>
      </c>
      <c r="AH256" s="177">
        <f t="shared" si="399"/>
        <v>0.60474315681476365</v>
      </c>
      <c r="AI256" s="177">
        <f t="shared" si="400"/>
        <v>0.60474315681476365</v>
      </c>
      <c r="AJ256" s="177">
        <f t="shared" si="401"/>
        <v>1.4257356717146397</v>
      </c>
      <c r="AL256" s="555">
        <f t="shared" si="402"/>
        <v>80.000000000000014</v>
      </c>
      <c r="AM256" s="469">
        <f t="shared" si="403"/>
        <v>350</v>
      </c>
      <c r="AO256">
        <f t="shared" si="381"/>
        <v>80.000000000000014</v>
      </c>
      <c r="AP256">
        <f t="shared" si="382"/>
        <v>350</v>
      </c>
      <c r="AR256" s="5">
        <f t="shared" si="343"/>
        <v>2.8571428571428572</v>
      </c>
      <c r="AS256" s="5">
        <f t="shared" si="385"/>
        <v>0.37796447300922731</v>
      </c>
      <c r="AT256" s="5">
        <f t="shared" si="386"/>
        <v>2.4791783841336299</v>
      </c>
      <c r="AU256" s="177">
        <f t="shared" si="387"/>
        <v>0.13228756555322954</v>
      </c>
      <c r="CI256" s="571">
        <f t="shared" si="404"/>
        <v>-50</v>
      </c>
    </row>
    <row r="257" spans="5:87" x14ac:dyDescent="0.25">
      <c r="E257" s="174">
        <v>41</v>
      </c>
      <c r="F257" s="221">
        <f t="shared" si="405"/>
        <v>8.2000000000000003E-2</v>
      </c>
      <c r="G257" s="221">
        <f t="shared" si="388"/>
        <v>4.1000000000000002E-2</v>
      </c>
      <c r="H257" s="221">
        <f t="shared" si="389"/>
        <v>1.3120000000000001</v>
      </c>
      <c r="I257" s="221">
        <f t="shared" si="390"/>
        <v>0.65600000000000003</v>
      </c>
      <c r="J257" s="551">
        <f t="shared" si="356"/>
        <v>48</v>
      </c>
      <c r="K257" s="451">
        <f t="shared" si="357"/>
        <v>19.584</v>
      </c>
      <c r="L257" s="451">
        <f t="shared" si="358"/>
        <v>67.584000000000003</v>
      </c>
      <c r="M257" s="451"/>
      <c r="N257" s="221">
        <f t="shared" si="359"/>
        <v>0.28977272727272724</v>
      </c>
      <c r="O257" s="176">
        <f t="shared" si="391"/>
        <v>6.259090909090907</v>
      </c>
      <c r="P257" s="176">
        <f t="shared" si="392"/>
        <v>3.129545454545454</v>
      </c>
      <c r="Q257" s="221">
        <f t="shared" si="362"/>
        <v>0.39119318181818169</v>
      </c>
      <c r="R257" s="221">
        <f t="shared" si="393"/>
        <v>0.39119318181818169</v>
      </c>
      <c r="S257" s="221">
        <f t="shared" si="394"/>
        <v>16</v>
      </c>
      <c r="T257" s="221">
        <f t="shared" si="395"/>
        <v>0.31442265795206975</v>
      </c>
      <c r="U257" s="221">
        <f t="shared" si="366"/>
        <v>0.19651416122004359</v>
      </c>
      <c r="V257" s="221">
        <f t="shared" si="367"/>
        <v>0.48165235593147943</v>
      </c>
      <c r="W257" s="201">
        <f t="shared" si="368"/>
        <v>350</v>
      </c>
      <c r="X257" s="451">
        <f t="shared" si="369"/>
        <v>350</v>
      </c>
      <c r="Z257" s="221">
        <f t="shared" si="370"/>
        <v>1.3246753246753247</v>
      </c>
      <c r="AA257" s="177">
        <f t="shared" si="371"/>
        <v>2.029220779220779</v>
      </c>
      <c r="AB257" s="177">
        <f t="shared" si="396"/>
        <v>0.37632821723730803</v>
      </c>
      <c r="AC257" s="177"/>
      <c r="AD257" s="177">
        <f t="shared" si="373"/>
        <v>0.4595588235294118</v>
      </c>
      <c r="AE257" s="555">
        <f t="shared" si="397"/>
        <v>1486.9333333333338</v>
      </c>
      <c r="AF257" s="538">
        <f t="shared" si="398"/>
        <v>1.9301470588235291E-2</v>
      </c>
      <c r="AH257" s="177">
        <f t="shared" si="399"/>
        <v>0.61225578221617705</v>
      </c>
      <c r="AI257" s="177">
        <f t="shared" si="400"/>
        <v>0.61225578221617705</v>
      </c>
      <c r="AJ257" s="177">
        <f t="shared" si="401"/>
        <v>1.4313005794193905</v>
      </c>
      <c r="AL257" s="555">
        <f t="shared" si="402"/>
        <v>82</v>
      </c>
      <c r="AM257" s="469">
        <f t="shared" si="403"/>
        <v>350</v>
      </c>
      <c r="AO257">
        <f t="shared" si="381"/>
        <v>82</v>
      </c>
      <c r="AP257">
        <f t="shared" si="382"/>
        <v>350</v>
      </c>
      <c r="AR257" s="5">
        <f t="shared" si="343"/>
        <v>2.8571428571428572</v>
      </c>
      <c r="AS257" s="5">
        <f t="shared" si="385"/>
        <v>0.3826598638851107</v>
      </c>
      <c r="AT257" s="5">
        <f t="shared" si="386"/>
        <v>2.4744829932577463</v>
      </c>
      <c r="AU257" s="177">
        <f t="shared" si="387"/>
        <v>0.13393095235978875</v>
      </c>
      <c r="CI257" s="571">
        <f t="shared" si="404"/>
        <v>-50</v>
      </c>
    </row>
    <row r="258" spans="5:87" x14ac:dyDescent="0.25">
      <c r="E258" s="174">
        <v>42</v>
      </c>
      <c r="F258" s="221">
        <f t="shared" si="405"/>
        <v>8.4000000000000005E-2</v>
      </c>
      <c r="G258" s="221">
        <f t="shared" si="388"/>
        <v>4.2000000000000003E-2</v>
      </c>
      <c r="H258" s="221">
        <f t="shared" si="389"/>
        <v>1.3440000000000001</v>
      </c>
      <c r="I258" s="221">
        <f t="shared" si="390"/>
        <v>0.67200000000000004</v>
      </c>
      <c r="J258" s="551">
        <f t="shared" si="356"/>
        <v>48</v>
      </c>
      <c r="K258" s="451">
        <f t="shared" si="357"/>
        <v>19.584</v>
      </c>
      <c r="L258" s="451">
        <f t="shared" si="358"/>
        <v>67.584000000000003</v>
      </c>
      <c r="M258" s="451"/>
      <c r="N258" s="221">
        <f t="shared" si="359"/>
        <v>0.28977272727272724</v>
      </c>
      <c r="O258" s="176">
        <f t="shared" si="391"/>
        <v>6.259090909090907</v>
      </c>
      <c r="P258" s="176">
        <f t="shared" si="392"/>
        <v>3.129545454545454</v>
      </c>
      <c r="Q258" s="221">
        <f t="shared" si="362"/>
        <v>0.39119318181818169</v>
      </c>
      <c r="R258" s="221">
        <f t="shared" si="393"/>
        <v>0.39119318181818169</v>
      </c>
      <c r="S258" s="221">
        <f t="shared" si="394"/>
        <v>16</v>
      </c>
      <c r="T258" s="221">
        <f t="shared" si="395"/>
        <v>0.32209150326797387</v>
      </c>
      <c r="U258" s="221">
        <f t="shared" si="366"/>
        <v>0.20130718954248367</v>
      </c>
      <c r="V258" s="221">
        <f t="shared" si="367"/>
        <v>0.49339997436883259</v>
      </c>
      <c r="W258" s="201">
        <f t="shared" si="368"/>
        <v>350</v>
      </c>
      <c r="X258" s="451">
        <f t="shared" si="369"/>
        <v>350</v>
      </c>
      <c r="Z258" s="221">
        <f t="shared" si="370"/>
        <v>1.3246753246753247</v>
      </c>
      <c r="AA258" s="177">
        <f t="shared" si="371"/>
        <v>2.029220779220779</v>
      </c>
      <c r="AB258" s="177">
        <f t="shared" si="396"/>
        <v>0.37632821723730803</v>
      </c>
      <c r="AC258" s="177"/>
      <c r="AD258" s="177">
        <f t="shared" si="373"/>
        <v>0.4595588235294118</v>
      </c>
      <c r="AE258" s="555">
        <f t="shared" si="397"/>
        <v>1523.2000000000005</v>
      </c>
      <c r="AF258" s="538">
        <f t="shared" si="398"/>
        <v>1.9301470588235291E-2</v>
      </c>
      <c r="AH258" s="177">
        <f t="shared" si="399"/>
        <v>0.6196773353931867</v>
      </c>
      <c r="AI258" s="177">
        <f t="shared" si="400"/>
        <v>0.6196773353931867</v>
      </c>
      <c r="AJ258" s="177">
        <f t="shared" si="401"/>
        <v>1.4367980262171753</v>
      </c>
      <c r="AL258" s="555">
        <f t="shared" si="402"/>
        <v>84</v>
      </c>
      <c r="AM258" s="469">
        <f t="shared" si="403"/>
        <v>350</v>
      </c>
      <c r="AO258">
        <f t="shared" si="381"/>
        <v>84</v>
      </c>
      <c r="AP258">
        <f t="shared" si="382"/>
        <v>350</v>
      </c>
      <c r="AR258" s="5">
        <f t="shared" si="343"/>
        <v>2.8571428571428572</v>
      </c>
      <c r="AS258" s="5">
        <f t="shared" si="385"/>
        <v>0.3872983346207417</v>
      </c>
      <c r="AT258" s="5">
        <f t="shared" si="386"/>
        <v>2.4698445225221155</v>
      </c>
      <c r="AU258" s="177">
        <f t="shared" si="387"/>
        <v>0.1355544171172596</v>
      </c>
      <c r="CI258" s="571">
        <f t="shared" si="404"/>
        <v>-50</v>
      </c>
    </row>
    <row r="259" spans="5:87" x14ac:dyDescent="0.25">
      <c r="E259" s="174">
        <v>43</v>
      </c>
      <c r="F259" s="221">
        <f t="shared" si="405"/>
        <v>8.6000000000000007E-2</v>
      </c>
      <c r="G259" s="221">
        <f t="shared" si="388"/>
        <v>4.3000000000000003E-2</v>
      </c>
      <c r="H259" s="221">
        <f t="shared" si="389"/>
        <v>1.3760000000000001</v>
      </c>
      <c r="I259" s="221">
        <f t="shared" si="390"/>
        <v>0.68800000000000006</v>
      </c>
      <c r="J259" s="551">
        <f t="shared" si="356"/>
        <v>48</v>
      </c>
      <c r="K259" s="451">
        <f t="shared" si="357"/>
        <v>19.584</v>
      </c>
      <c r="L259" s="451">
        <f t="shared" si="358"/>
        <v>67.584000000000003</v>
      </c>
      <c r="M259" s="451"/>
      <c r="N259" s="221">
        <f t="shared" si="359"/>
        <v>0.28977272727272724</v>
      </c>
      <c r="O259" s="176">
        <f t="shared" si="391"/>
        <v>6.259090909090907</v>
      </c>
      <c r="P259" s="176">
        <f t="shared" si="392"/>
        <v>3.129545454545454</v>
      </c>
      <c r="Q259" s="221">
        <f t="shared" si="362"/>
        <v>0.39119318181818169</v>
      </c>
      <c r="R259" s="221">
        <f t="shared" si="393"/>
        <v>0.39119318181818169</v>
      </c>
      <c r="S259" s="221">
        <f t="shared" si="394"/>
        <v>16</v>
      </c>
      <c r="T259" s="221">
        <f t="shared" si="395"/>
        <v>0.32976034858387804</v>
      </c>
      <c r="U259" s="221">
        <f t="shared" si="366"/>
        <v>0.20610021786492375</v>
      </c>
      <c r="V259" s="221">
        <f t="shared" si="367"/>
        <v>0.50514759280618571</v>
      </c>
      <c r="W259" s="201">
        <f t="shared" si="368"/>
        <v>350</v>
      </c>
      <c r="X259" s="451">
        <f t="shared" si="369"/>
        <v>350</v>
      </c>
      <c r="Z259" s="221">
        <f t="shared" si="370"/>
        <v>1.3246753246753247</v>
      </c>
      <c r="AA259" s="177">
        <f t="shared" si="371"/>
        <v>2.029220779220779</v>
      </c>
      <c r="AB259" s="177">
        <f t="shared" si="396"/>
        <v>0.37632821723730803</v>
      </c>
      <c r="AC259" s="177"/>
      <c r="AD259" s="177">
        <f t="shared" si="373"/>
        <v>0.4595588235294118</v>
      </c>
      <c r="AE259" s="555">
        <f t="shared" si="397"/>
        <v>1559.4666666666672</v>
      </c>
      <c r="AF259" s="538">
        <f t="shared" si="398"/>
        <v>1.9301470588235291E-2</v>
      </c>
      <c r="AH259" s="177">
        <f t="shared" si="399"/>
        <v>0.62701105025578063</v>
      </c>
      <c r="AI259" s="177">
        <f t="shared" si="400"/>
        <v>0.62701105025578063</v>
      </c>
      <c r="AJ259" s="177">
        <f t="shared" si="401"/>
        <v>1.4422304075968746</v>
      </c>
      <c r="AL259" s="555">
        <f t="shared" si="402"/>
        <v>86</v>
      </c>
      <c r="AM259" s="469">
        <f t="shared" si="403"/>
        <v>350</v>
      </c>
      <c r="AO259">
        <f t="shared" si="381"/>
        <v>86</v>
      </c>
      <c r="AP259">
        <f t="shared" si="382"/>
        <v>350</v>
      </c>
      <c r="AR259" s="5">
        <f t="shared" si="343"/>
        <v>2.8571428571428572</v>
      </c>
      <c r="AS259" s="5">
        <f t="shared" si="385"/>
        <v>0.39188190640986292</v>
      </c>
      <c r="AT259" s="5">
        <f t="shared" si="386"/>
        <v>2.4652609507329943</v>
      </c>
      <c r="AU259" s="177">
        <f t="shared" si="387"/>
        <v>0.13715866724345202</v>
      </c>
      <c r="CI259" s="571">
        <f t="shared" si="404"/>
        <v>-50</v>
      </c>
    </row>
    <row r="260" spans="5:87" x14ac:dyDescent="0.25">
      <c r="E260" s="174">
        <v>44</v>
      </c>
      <c r="F260" s="221">
        <f t="shared" si="405"/>
        <v>8.8000000000000009E-2</v>
      </c>
      <c r="G260" s="221">
        <f t="shared" si="388"/>
        <v>4.4000000000000004E-2</v>
      </c>
      <c r="H260" s="221">
        <f t="shared" si="389"/>
        <v>1.4080000000000001</v>
      </c>
      <c r="I260" s="221">
        <f t="shared" si="390"/>
        <v>0.70400000000000007</v>
      </c>
      <c r="J260" s="551">
        <f t="shared" si="356"/>
        <v>48</v>
      </c>
      <c r="K260" s="451">
        <f t="shared" si="357"/>
        <v>19.584</v>
      </c>
      <c r="L260" s="451">
        <f t="shared" si="358"/>
        <v>67.584000000000003</v>
      </c>
      <c r="M260" s="451"/>
      <c r="N260" s="221">
        <f t="shared" si="359"/>
        <v>0.28977272727272724</v>
      </c>
      <c r="O260" s="176">
        <f t="shared" si="391"/>
        <v>6.259090909090907</v>
      </c>
      <c r="P260" s="176">
        <f t="shared" si="392"/>
        <v>3.129545454545454</v>
      </c>
      <c r="Q260" s="221">
        <f t="shared" si="362"/>
        <v>0.39119318181818169</v>
      </c>
      <c r="R260" s="221">
        <f t="shared" si="393"/>
        <v>0.39119318181818169</v>
      </c>
      <c r="S260" s="221">
        <f t="shared" si="394"/>
        <v>16</v>
      </c>
      <c r="T260" s="221">
        <f t="shared" si="395"/>
        <v>0.33742919389978215</v>
      </c>
      <c r="U260" s="221">
        <f t="shared" si="366"/>
        <v>0.21089324618736385</v>
      </c>
      <c r="V260" s="221">
        <f t="shared" si="367"/>
        <v>0.51689521124353888</v>
      </c>
      <c r="W260" s="201">
        <f t="shared" si="368"/>
        <v>350</v>
      </c>
      <c r="X260" s="451">
        <f t="shared" si="369"/>
        <v>350</v>
      </c>
      <c r="Z260" s="221">
        <f t="shared" si="370"/>
        <v>1.3246753246753247</v>
      </c>
      <c r="AA260" s="177">
        <f t="shared" si="371"/>
        <v>2.029220779220779</v>
      </c>
      <c r="AB260" s="177">
        <f t="shared" si="396"/>
        <v>0.37632821723730803</v>
      </c>
      <c r="AC260" s="177"/>
      <c r="AD260" s="177">
        <f t="shared" si="373"/>
        <v>0.4595588235294118</v>
      </c>
      <c r="AE260" s="555">
        <f t="shared" si="397"/>
        <v>1595.733333333334</v>
      </c>
      <c r="AF260" s="538">
        <f t="shared" si="398"/>
        <v>1.9301470588235291E-2</v>
      </c>
      <c r="AH260" s="177">
        <f t="shared" si="399"/>
        <v>0.63425997373767351</v>
      </c>
      <c r="AI260" s="177">
        <f t="shared" si="400"/>
        <v>0.63425997373767351</v>
      </c>
      <c r="AJ260" s="177">
        <f t="shared" si="401"/>
        <v>1.4475999805464248</v>
      </c>
      <c r="AL260" s="555">
        <f t="shared" si="402"/>
        <v>88.000000000000014</v>
      </c>
      <c r="AM260" s="469">
        <f t="shared" si="403"/>
        <v>350</v>
      </c>
      <c r="AO260">
        <f t="shared" si="381"/>
        <v>88.000000000000014</v>
      </c>
      <c r="AP260">
        <f t="shared" si="382"/>
        <v>350</v>
      </c>
      <c r="AR260" s="5">
        <f t="shared" si="343"/>
        <v>2.8571428571428572</v>
      </c>
      <c r="AS260" s="5">
        <f t="shared" si="385"/>
        <v>0.39641248358604597</v>
      </c>
      <c r="AT260" s="5">
        <f t="shared" si="386"/>
        <v>2.4607303735568111</v>
      </c>
      <c r="AU260" s="177">
        <f t="shared" si="387"/>
        <v>0.13874436925511607</v>
      </c>
      <c r="CI260" s="571">
        <f t="shared" si="404"/>
        <v>-50</v>
      </c>
    </row>
    <row r="261" spans="5:87" x14ac:dyDescent="0.25">
      <c r="E261" s="174">
        <v>45</v>
      </c>
      <c r="F261" s="221">
        <f t="shared" si="405"/>
        <v>9.0000000000000011E-2</v>
      </c>
      <c r="G261" s="221">
        <f t="shared" si="388"/>
        <v>4.5000000000000005E-2</v>
      </c>
      <c r="H261" s="221">
        <f t="shared" si="389"/>
        <v>1.4400000000000002</v>
      </c>
      <c r="I261" s="221">
        <f t="shared" si="390"/>
        <v>0.72000000000000008</v>
      </c>
      <c r="J261" s="551">
        <f t="shared" si="356"/>
        <v>48</v>
      </c>
      <c r="K261" s="451">
        <f t="shared" si="357"/>
        <v>19.584</v>
      </c>
      <c r="L261" s="451">
        <f t="shared" si="358"/>
        <v>67.584000000000003</v>
      </c>
      <c r="M261" s="451"/>
      <c r="N261" s="221">
        <f t="shared" si="359"/>
        <v>0.28977272727272724</v>
      </c>
      <c r="O261" s="176">
        <f t="shared" si="391"/>
        <v>6.259090909090907</v>
      </c>
      <c r="P261" s="176">
        <f t="shared" si="392"/>
        <v>3.129545454545454</v>
      </c>
      <c r="Q261" s="221">
        <f t="shared" si="362"/>
        <v>0.39119318181818169</v>
      </c>
      <c r="R261" s="221">
        <f t="shared" si="393"/>
        <v>0.39119318181818169</v>
      </c>
      <c r="S261" s="221">
        <f t="shared" si="394"/>
        <v>16</v>
      </c>
      <c r="T261" s="221">
        <f t="shared" si="395"/>
        <v>0.34509803921568633</v>
      </c>
      <c r="U261" s="221">
        <f t="shared" si="366"/>
        <v>0.21568627450980393</v>
      </c>
      <c r="V261" s="221">
        <f t="shared" si="367"/>
        <v>0.52864282968089205</v>
      </c>
      <c r="W261" s="201">
        <f t="shared" si="368"/>
        <v>350</v>
      </c>
      <c r="X261" s="451">
        <f t="shared" si="369"/>
        <v>350</v>
      </c>
      <c r="Z261" s="221">
        <f t="shared" si="370"/>
        <v>1.3246753246753247</v>
      </c>
      <c r="AA261" s="177">
        <f t="shared" si="371"/>
        <v>2.029220779220779</v>
      </c>
      <c r="AB261" s="177">
        <f t="shared" si="396"/>
        <v>0.37632821723730803</v>
      </c>
      <c r="AC261" s="177"/>
      <c r="AD261" s="177">
        <f t="shared" si="373"/>
        <v>0.4595588235294118</v>
      </c>
      <c r="AE261" s="555">
        <f t="shared" si="397"/>
        <v>1632.0000000000005</v>
      </c>
      <c r="AF261" s="538">
        <f t="shared" si="398"/>
        <v>1.9301470588235291E-2</v>
      </c>
      <c r="AH261" s="177">
        <f t="shared" si="399"/>
        <v>0.64142698058981851</v>
      </c>
      <c r="AI261" s="177">
        <f t="shared" si="400"/>
        <v>0.64142698058981851</v>
      </c>
      <c r="AJ261" s="177">
        <f t="shared" si="401"/>
        <v>1.4529088745109766</v>
      </c>
      <c r="AL261" s="555">
        <f t="shared" si="402"/>
        <v>90.000000000000014</v>
      </c>
      <c r="AM261" s="469">
        <f t="shared" si="403"/>
        <v>350</v>
      </c>
      <c r="AO261">
        <f t="shared" si="381"/>
        <v>90.000000000000014</v>
      </c>
      <c r="AP261">
        <f t="shared" si="382"/>
        <v>350</v>
      </c>
      <c r="AR261" s="5">
        <f t="shared" si="343"/>
        <v>2.8571428571428572</v>
      </c>
      <c r="AS261" s="5">
        <f t="shared" si="385"/>
        <v>0.40089186286863654</v>
      </c>
      <c r="AT261" s="5">
        <f t="shared" si="386"/>
        <v>2.4562509942742206</v>
      </c>
      <c r="AU261" s="177">
        <f t="shared" si="387"/>
        <v>0.14031215200402278</v>
      </c>
      <c r="CI261" s="571">
        <f t="shared" si="404"/>
        <v>-50</v>
      </c>
    </row>
    <row r="262" spans="5:87" x14ac:dyDescent="0.25">
      <c r="E262" s="174">
        <v>46</v>
      </c>
      <c r="F262" s="221">
        <f t="shared" si="405"/>
        <v>9.2000000000000012E-2</v>
      </c>
      <c r="G262" s="221">
        <f t="shared" si="388"/>
        <v>4.6000000000000006E-2</v>
      </c>
      <c r="H262" s="221">
        <f t="shared" si="389"/>
        <v>1.4720000000000002</v>
      </c>
      <c r="I262" s="221">
        <f t="shared" si="390"/>
        <v>0.7360000000000001</v>
      </c>
      <c r="J262" s="551">
        <f t="shared" si="356"/>
        <v>48</v>
      </c>
      <c r="K262" s="451">
        <f t="shared" si="357"/>
        <v>19.584</v>
      </c>
      <c r="L262" s="451">
        <f t="shared" si="358"/>
        <v>67.584000000000003</v>
      </c>
      <c r="M262" s="451"/>
      <c r="N262" s="221">
        <f t="shared" si="359"/>
        <v>0.28977272727272724</v>
      </c>
      <c r="O262" s="176">
        <f t="shared" si="391"/>
        <v>6.259090909090907</v>
      </c>
      <c r="P262" s="176">
        <f t="shared" si="392"/>
        <v>3.129545454545454</v>
      </c>
      <c r="Q262" s="221">
        <f t="shared" si="362"/>
        <v>0.39119318181818169</v>
      </c>
      <c r="R262" s="221">
        <f t="shared" si="393"/>
        <v>0.39119318181818169</v>
      </c>
      <c r="S262" s="221">
        <f t="shared" si="394"/>
        <v>16</v>
      </c>
      <c r="T262" s="221">
        <f t="shared" si="395"/>
        <v>0.35276688453159044</v>
      </c>
      <c r="U262" s="221">
        <f t="shared" si="366"/>
        <v>0.22047930283224401</v>
      </c>
      <c r="V262" s="221">
        <f t="shared" si="367"/>
        <v>0.54039044811824521</v>
      </c>
      <c r="W262" s="201">
        <f t="shared" si="368"/>
        <v>350</v>
      </c>
      <c r="X262" s="451">
        <f t="shared" si="369"/>
        <v>350</v>
      </c>
      <c r="Z262" s="221">
        <f t="shared" si="370"/>
        <v>1.3246753246753247</v>
      </c>
      <c r="AA262" s="177">
        <f t="shared" si="371"/>
        <v>2.029220779220779</v>
      </c>
      <c r="AB262" s="177">
        <f t="shared" si="396"/>
        <v>0.37632821723730803</v>
      </c>
      <c r="AC262" s="177"/>
      <c r="AD262" s="177">
        <f t="shared" si="373"/>
        <v>0.4595588235294118</v>
      </c>
      <c r="AE262" s="555">
        <f t="shared" si="397"/>
        <v>1668.2666666666671</v>
      </c>
      <c r="AF262" s="538">
        <f t="shared" si="398"/>
        <v>1.9301470588235291E-2</v>
      </c>
      <c r="AH262" s="177">
        <f t="shared" si="399"/>
        <v>0.64851478670222207</v>
      </c>
      <c r="AI262" s="177">
        <f t="shared" si="400"/>
        <v>0.64851478670222207</v>
      </c>
      <c r="AJ262" s="177">
        <f t="shared" si="401"/>
        <v>1.4581591012609052</v>
      </c>
      <c r="AL262" s="555">
        <f t="shared" si="402"/>
        <v>92.000000000000014</v>
      </c>
      <c r="AM262" s="469">
        <f t="shared" si="403"/>
        <v>350</v>
      </c>
      <c r="AO262">
        <f t="shared" si="381"/>
        <v>92.000000000000014</v>
      </c>
      <c r="AP262">
        <f t="shared" si="382"/>
        <v>350</v>
      </c>
      <c r="AR262" s="5">
        <f t="shared" si="343"/>
        <v>2.8571428571428572</v>
      </c>
      <c r="AS262" s="5">
        <f t="shared" si="385"/>
        <v>0.40532174168888885</v>
      </c>
      <c r="AT262" s="5">
        <f t="shared" si="386"/>
        <v>2.4518211154539684</v>
      </c>
      <c r="AU262" s="177">
        <f t="shared" si="387"/>
        <v>0.14186260959111111</v>
      </c>
      <c r="CI262" s="571">
        <f t="shared" si="404"/>
        <v>-50</v>
      </c>
    </row>
    <row r="263" spans="5:87" x14ac:dyDescent="0.25">
      <c r="E263" s="174">
        <v>47</v>
      </c>
      <c r="F263" s="221">
        <f t="shared" si="405"/>
        <v>9.4E-2</v>
      </c>
      <c r="G263" s="221">
        <f t="shared" si="388"/>
        <v>4.7E-2</v>
      </c>
      <c r="H263" s="221">
        <f t="shared" si="389"/>
        <v>1.504</v>
      </c>
      <c r="I263" s="221">
        <f t="shared" si="390"/>
        <v>0.752</v>
      </c>
      <c r="J263" s="551">
        <f t="shared" si="356"/>
        <v>48</v>
      </c>
      <c r="K263" s="451">
        <f t="shared" si="357"/>
        <v>19.584</v>
      </c>
      <c r="L263" s="451">
        <f t="shared" si="358"/>
        <v>67.584000000000003</v>
      </c>
      <c r="M263" s="451"/>
      <c r="N263" s="221">
        <f t="shared" si="359"/>
        <v>0.28977272727272724</v>
      </c>
      <c r="O263" s="176">
        <f t="shared" si="391"/>
        <v>6.259090909090907</v>
      </c>
      <c r="P263" s="176">
        <f t="shared" si="392"/>
        <v>3.129545454545454</v>
      </c>
      <c r="Q263" s="221">
        <f t="shared" si="362"/>
        <v>0.39119318181818169</v>
      </c>
      <c r="R263" s="221">
        <f t="shared" si="393"/>
        <v>0.39119318181818169</v>
      </c>
      <c r="S263" s="221">
        <f t="shared" si="394"/>
        <v>16</v>
      </c>
      <c r="T263" s="221">
        <f t="shared" si="395"/>
        <v>0.36043572984749461</v>
      </c>
      <c r="U263" s="221">
        <f t="shared" si="366"/>
        <v>0.22527233115468412</v>
      </c>
      <c r="V263" s="221">
        <f t="shared" si="367"/>
        <v>0.55213806655559838</v>
      </c>
      <c r="W263" s="201">
        <f t="shared" si="368"/>
        <v>350</v>
      </c>
      <c r="X263" s="451">
        <f t="shared" si="369"/>
        <v>350</v>
      </c>
      <c r="Z263" s="221">
        <f t="shared" si="370"/>
        <v>1.3246753246753247</v>
      </c>
      <c r="AA263" s="177">
        <f t="shared" si="371"/>
        <v>2.029220779220779</v>
      </c>
      <c r="AB263" s="177">
        <f t="shared" si="396"/>
        <v>0.37632821723730803</v>
      </c>
      <c r="AC263" s="177"/>
      <c r="AD263" s="177">
        <f t="shared" si="373"/>
        <v>0.4595588235294118</v>
      </c>
      <c r="AE263" s="555">
        <f t="shared" si="397"/>
        <v>1704.533333333334</v>
      </c>
      <c r="AF263" s="538">
        <f t="shared" si="398"/>
        <v>1.9301470588235291E-2</v>
      </c>
      <c r="AH263" s="177">
        <f t="shared" si="399"/>
        <v>0.6555259611291423</v>
      </c>
      <c r="AI263" s="177">
        <f t="shared" si="400"/>
        <v>0.6555259611291423</v>
      </c>
      <c r="AJ263" s="177">
        <f t="shared" si="401"/>
        <v>1.4633525637993645</v>
      </c>
      <c r="AL263" s="555">
        <f t="shared" si="402"/>
        <v>94</v>
      </c>
      <c r="AM263" s="469">
        <f t="shared" si="403"/>
        <v>350</v>
      </c>
      <c r="AO263">
        <f t="shared" si="381"/>
        <v>94</v>
      </c>
      <c r="AP263">
        <f t="shared" si="382"/>
        <v>350</v>
      </c>
      <c r="AR263" s="5">
        <f t="shared" ref="AR263:AR316" si="406">1/AM263*1000</f>
        <v>2.8571428571428572</v>
      </c>
      <c r="AS263" s="5">
        <f t="shared" si="385"/>
        <v>0.40970372570571395</v>
      </c>
      <c r="AT263" s="5">
        <f t="shared" si="386"/>
        <v>2.4474391314371431</v>
      </c>
      <c r="AU263" s="177">
        <f t="shared" si="387"/>
        <v>0.14339630399699987</v>
      </c>
      <c r="CI263" s="571">
        <f t="shared" si="404"/>
        <v>-50</v>
      </c>
    </row>
    <row r="264" spans="5:87" x14ac:dyDescent="0.25">
      <c r="E264" s="174">
        <v>48</v>
      </c>
      <c r="F264" s="221">
        <f t="shared" si="405"/>
        <v>9.6000000000000002E-2</v>
      </c>
      <c r="G264" s="221">
        <f t="shared" si="388"/>
        <v>4.8000000000000001E-2</v>
      </c>
      <c r="H264" s="221">
        <f t="shared" si="389"/>
        <v>1.536</v>
      </c>
      <c r="I264" s="221">
        <f t="shared" si="390"/>
        <v>0.76800000000000002</v>
      </c>
      <c r="J264" s="551">
        <f t="shared" si="356"/>
        <v>48</v>
      </c>
      <c r="K264" s="451">
        <f t="shared" si="357"/>
        <v>19.584</v>
      </c>
      <c r="L264" s="451">
        <f t="shared" si="358"/>
        <v>67.584000000000003</v>
      </c>
      <c r="M264" s="451"/>
      <c r="N264" s="221">
        <f t="shared" si="359"/>
        <v>0.28977272727272724</v>
      </c>
      <c r="O264" s="176">
        <f t="shared" si="391"/>
        <v>6.259090909090907</v>
      </c>
      <c r="P264" s="176">
        <f t="shared" si="392"/>
        <v>3.129545454545454</v>
      </c>
      <c r="Q264" s="221">
        <f t="shared" si="362"/>
        <v>0.39119318181818169</v>
      </c>
      <c r="R264" s="221">
        <f t="shared" si="393"/>
        <v>0.39119318181818169</v>
      </c>
      <c r="S264" s="221">
        <f t="shared" si="394"/>
        <v>16</v>
      </c>
      <c r="T264" s="221">
        <f t="shared" si="395"/>
        <v>0.36810457516339873</v>
      </c>
      <c r="U264" s="221">
        <f t="shared" si="366"/>
        <v>0.2300653594771242</v>
      </c>
      <c r="V264" s="221">
        <f t="shared" si="367"/>
        <v>0.56388568499295144</v>
      </c>
      <c r="W264" s="201">
        <f t="shared" si="368"/>
        <v>350</v>
      </c>
      <c r="X264" s="451">
        <f t="shared" si="369"/>
        <v>350</v>
      </c>
      <c r="Z264" s="221">
        <f t="shared" si="370"/>
        <v>1.3246753246753247</v>
      </c>
      <c r="AA264" s="177">
        <f t="shared" si="371"/>
        <v>2.029220779220779</v>
      </c>
      <c r="AB264" s="177">
        <f t="shared" si="396"/>
        <v>0.37632821723730803</v>
      </c>
      <c r="AC264" s="177"/>
      <c r="AD264" s="177">
        <f t="shared" si="373"/>
        <v>0.4595588235294118</v>
      </c>
      <c r="AE264" s="555">
        <f t="shared" si="397"/>
        <v>1740.8000000000006</v>
      </c>
      <c r="AF264" s="538">
        <f t="shared" si="398"/>
        <v>1.9301470588235291E-2</v>
      </c>
      <c r="AH264" s="177">
        <f t="shared" si="399"/>
        <v>0.6624629369686601</v>
      </c>
      <c r="AI264" s="177">
        <f t="shared" si="400"/>
        <v>0.6624629369686601</v>
      </c>
      <c r="AJ264" s="177">
        <f t="shared" si="401"/>
        <v>1.4684910644212297</v>
      </c>
      <c r="AL264" s="555">
        <f t="shared" si="402"/>
        <v>96</v>
      </c>
      <c r="AM264" s="469">
        <f t="shared" si="403"/>
        <v>350</v>
      </c>
      <c r="AO264">
        <f t="shared" si="381"/>
        <v>96</v>
      </c>
      <c r="AP264">
        <f t="shared" si="382"/>
        <v>350</v>
      </c>
      <c r="AR264" s="5">
        <f t="shared" si="406"/>
        <v>2.8571428571428572</v>
      </c>
      <c r="AS264" s="5">
        <f t="shared" si="385"/>
        <v>0.41403933560541262</v>
      </c>
      <c r="AT264" s="5">
        <f t="shared" si="386"/>
        <v>2.4431035215374446</v>
      </c>
      <c r="AU264" s="177">
        <f t="shared" si="387"/>
        <v>0.14491376746189441</v>
      </c>
      <c r="CI264" s="571">
        <f t="shared" si="404"/>
        <v>-50</v>
      </c>
    </row>
    <row r="265" spans="5:87" x14ac:dyDescent="0.25">
      <c r="E265" s="174">
        <v>49</v>
      </c>
      <c r="F265" s="221">
        <f t="shared" si="405"/>
        <v>9.8000000000000004E-2</v>
      </c>
      <c r="G265" s="221">
        <f t="shared" si="388"/>
        <v>4.9000000000000002E-2</v>
      </c>
      <c r="H265" s="221">
        <f t="shared" si="389"/>
        <v>1.5680000000000001</v>
      </c>
      <c r="I265" s="221">
        <f t="shared" si="390"/>
        <v>0.78400000000000003</v>
      </c>
      <c r="J265" s="551">
        <f t="shared" si="356"/>
        <v>48</v>
      </c>
      <c r="K265" s="451">
        <f t="shared" si="357"/>
        <v>19.584</v>
      </c>
      <c r="L265" s="451">
        <f t="shared" si="358"/>
        <v>67.584000000000003</v>
      </c>
      <c r="M265" s="451"/>
      <c r="N265" s="221">
        <f t="shared" si="359"/>
        <v>0.28977272727272724</v>
      </c>
      <c r="O265" s="176">
        <f t="shared" si="391"/>
        <v>6.259090909090907</v>
      </c>
      <c r="P265" s="176">
        <f t="shared" si="392"/>
        <v>3.129545454545454</v>
      </c>
      <c r="Q265" s="221">
        <f t="shared" si="362"/>
        <v>0.39119318181818169</v>
      </c>
      <c r="R265" s="221">
        <f t="shared" si="393"/>
        <v>0.39119318181818169</v>
      </c>
      <c r="S265" s="221">
        <f t="shared" si="394"/>
        <v>16</v>
      </c>
      <c r="T265" s="221">
        <f t="shared" si="395"/>
        <v>0.3757734204793029</v>
      </c>
      <c r="U265" s="221">
        <f t="shared" si="366"/>
        <v>0.23485838779956431</v>
      </c>
      <c r="V265" s="221">
        <f t="shared" si="367"/>
        <v>0.57563330343030461</v>
      </c>
      <c r="W265" s="201">
        <f t="shared" si="368"/>
        <v>350</v>
      </c>
      <c r="X265" s="451">
        <f t="shared" si="369"/>
        <v>350</v>
      </c>
      <c r="Z265" s="221">
        <f t="shared" si="370"/>
        <v>1.3246753246753247</v>
      </c>
      <c r="AA265" s="177">
        <f t="shared" si="371"/>
        <v>2.029220779220779</v>
      </c>
      <c r="AB265" s="177">
        <f t="shared" si="396"/>
        <v>0.37632821723730803</v>
      </c>
      <c r="AC265" s="177"/>
      <c r="AD265" s="177">
        <f t="shared" si="373"/>
        <v>0.4595588235294118</v>
      </c>
      <c r="AE265" s="555">
        <f t="shared" si="397"/>
        <v>1777.0666666666671</v>
      </c>
      <c r="AF265" s="538">
        <f t="shared" si="398"/>
        <v>1.9301470588235291E-2</v>
      </c>
      <c r="AH265" s="177">
        <f t="shared" si="399"/>
        <v>0.66932802122726054</v>
      </c>
      <c r="AI265" s="177">
        <f t="shared" si="400"/>
        <v>0.66932802122726054</v>
      </c>
      <c r="AJ265" s="177">
        <f t="shared" si="401"/>
        <v>1.473576312020193</v>
      </c>
      <c r="AL265" s="555">
        <f t="shared" si="402"/>
        <v>98</v>
      </c>
      <c r="AM265" s="469">
        <f t="shared" si="403"/>
        <v>350</v>
      </c>
      <c r="AO265">
        <f t="shared" si="381"/>
        <v>98</v>
      </c>
      <c r="AP265">
        <f t="shared" si="382"/>
        <v>350</v>
      </c>
      <c r="AR265" s="5">
        <f t="shared" si="406"/>
        <v>2.8571428571428572</v>
      </c>
      <c r="AS265" s="5">
        <f t="shared" si="385"/>
        <v>0.41833001326703789</v>
      </c>
      <c r="AT265" s="5">
        <f t="shared" si="386"/>
        <v>2.4388128438758194</v>
      </c>
      <c r="AU265" s="177">
        <f t="shared" si="387"/>
        <v>0.14641550464346326</v>
      </c>
      <c r="CI265" s="571">
        <f t="shared" si="404"/>
        <v>-50</v>
      </c>
    </row>
    <row r="266" spans="5:87" x14ac:dyDescent="0.25">
      <c r="E266" s="174">
        <v>50</v>
      </c>
      <c r="F266" s="221">
        <f t="shared" si="405"/>
        <v>0.1</v>
      </c>
      <c r="G266" s="221">
        <f t="shared" si="388"/>
        <v>0.05</v>
      </c>
      <c r="H266" s="221">
        <f t="shared" si="389"/>
        <v>1.6</v>
      </c>
      <c r="I266" s="221">
        <f t="shared" si="390"/>
        <v>0.8</v>
      </c>
      <c r="J266" s="551">
        <f t="shared" si="356"/>
        <v>48</v>
      </c>
      <c r="K266" s="451">
        <f t="shared" si="357"/>
        <v>19.584</v>
      </c>
      <c r="L266" s="451">
        <f t="shared" si="358"/>
        <v>67.584000000000003</v>
      </c>
      <c r="M266" s="451"/>
      <c r="N266" s="221">
        <f t="shared" si="359"/>
        <v>0.28977272727272724</v>
      </c>
      <c r="O266" s="176">
        <f t="shared" si="391"/>
        <v>6.259090909090907</v>
      </c>
      <c r="P266" s="176">
        <f t="shared" si="392"/>
        <v>3.129545454545454</v>
      </c>
      <c r="Q266" s="221">
        <f t="shared" si="362"/>
        <v>0.39119318181818169</v>
      </c>
      <c r="R266" s="221">
        <f t="shared" si="393"/>
        <v>0.39119318181818169</v>
      </c>
      <c r="S266" s="221">
        <f t="shared" si="394"/>
        <v>16</v>
      </c>
      <c r="T266" s="221">
        <f t="shared" si="395"/>
        <v>0.38344226579520707</v>
      </c>
      <c r="U266" s="221">
        <f t="shared" si="366"/>
        <v>0.23965141612200441</v>
      </c>
      <c r="V266" s="221">
        <f t="shared" si="367"/>
        <v>0.58738092186765789</v>
      </c>
      <c r="W266" s="201">
        <f t="shared" si="368"/>
        <v>350</v>
      </c>
      <c r="X266" s="451">
        <f t="shared" si="369"/>
        <v>350</v>
      </c>
      <c r="Z266" s="221">
        <f t="shared" si="370"/>
        <v>1.3246753246753247</v>
      </c>
      <c r="AA266" s="177">
        <f t="shared" si="371"/>
        <v>2.029220779220779</v>
      </c>
      <c r="AB266" s="177">
        <f t="shared" si="396"/>
        <v>0.37632821723730803</v>
      </c>
      <c r="AC266" s="177"/>
      <c r="AD266" s="177">
        <f t="shared" si="373"/>
        <v>0.4595588235294118</v>
      </c>
      <c r="AE266" s="555">
        <f t="shared" si="397"/>
        <v>1813.3333333333337</v>
      </c>
      <c r="AF266" s="538">
        <f t="shared" si="398"/>
        <v>1.9301470588235291E-2</v>
      </c>
      <c r="AH266" s="177">
        <f t="shared" si="399"/>
        <v>0.67612340378281333</v>
      </c>
      <c r="AI266" s="177">
        <f t="shared" si="400"/>
        <v>0.67612340378281333</v>
      </c>
      <c r="AJ266" s="177">
        <f t="shared" si="401"/>
        <v>1.4786099287280099</v>
      </c>
      <c r="AL266" s="555">
        <f t="shared" si="402"/>
        <v>100</v>
      </c>
      <c r="AM266" s="469">
        <f t="shared" si="403"/>
        <v>350</v>
      </c>
      <c r="AO266">
        <f t="shared" si="381"/>
        <v>100</v>
      </c>
      <c r="AP266">
        <f t="shared" si="382"/>
        <v>350</v>
      </c>
      <c r="AR266" s="5">
        <f t="shared" si="406"/>
        <v>2.8571428571428572</v>
      </c>
      <c r="AS266" s="5">
        <f t="shared" si="385"/>
        <v>0.42257712736425834</v>
      </c>
      <c r="AT266" s="5">
        <f t="shared" si="386"/>
        <v>2.434565729778599</v>
      </c>
      <c r="AU266" s="177">
        <f t="shared" si="387"/>
        <v>0.14790199457749043</v>
      </c>
      <c r="CI266" s="571">
        <f t="shared" si="404"/>
        <v>-50</v>
      </c>
    </row>
    <row r="267" spans="5:87" x14ac:dyDescent="0.25">
      <c r="E267" s="174">
        <v>51</v>
      </c>
      <c r="F267" s="221">
        <f t="shared" si="405"/>
        <v>0.10200000000000001</v>
      </c>
      <c r="G267" s="221">
        <f t="shared" si="388"/>
        <v>5.1000000000000004E-2</v>
      </c>
      <c r="H267" s="221">
        <f t="shared" si="389"/>
        <v>1.6320000000000001</v>
      </c>
      <c r="I267" s="221">
        <f t="shared" si="390"/>
        <v>0.81600000000000006</v>
      </c>
      <c r="J267" s="551">
        <f t="shared" si="356"/>
        <v>48</v>
      </c>
      <c r="K267" s="451">
        <f t="shared" si="357"/>
        <v>19.584</v>
      </c>
      <c r="L267" s="451">
        <f t="shared" si="358"/>
        <v>67.584000000000003</v>
      </c>
      <c r="M267" s="451"/>
      <c r="N267" s="221">
        <f t="shared" si="359"/>
        <v>0.28977272727272724</v>
      </c>
      <c r="O267" s="176">
        <f t="shared" si="391"/>
        <v>6.259090909090907</v>
      </c>
      <c r="P267" s="176">
        <f t="shared" si="392"/>
        <v>3.129545454545454</v>
      </c>
      <c r="Q267" s="221">
        <f t="shared" si="362"/>
        <v>0.39119318181818169</v>
      </c>
      <c r="R267" s="221">
        <f t="shared" si="393"/>
        <v>0.39119318181818169</v>
      </c>
      <c r="S267" s="221">
        <f t="shared" si="394"/>
        <v>16</v>
      </c>
      <c r="T267" s="221">
        <f t="shared" si="395"/>
        <v>0.39111111111111119</v>
      </c>
      <c r="U267" s="221">
        <f t="shared" si="366"/>
        <v>0.24444444444444449</v>
      </c>
      <c r="V267" s="221">
        <f t="shared" si="367"/>
        <v>0.59912854030501106</v>
      </c>
      <c r="W267" s="201">
        <f t="shared" si="368"/>
        <v>350</v>
      </c>
      <c r="X267" s="451">
        <f t="shared" si="369"/>
        <v>350</v>
      </c>
      <c r="Z267" s="221">
        <f t="shared" si="370"/>
        <v>1.3246753246753247</v>
      </c>
      <c r="AA267" s="177">
        <f t="shared" si="371"/>
        <v>2.029220779220779</v>
      </c>
      <c r="AB267" s="177">
        <f t="shared" si="396"/>
        <v>0.37632821723730803</v>
      </c>
      <c r="AC267" s="177"/>
      <c r="AD267" s="177">
        <f t="shared" si="373"/>
        <v>0.4595588235294118</v>
      </c>
      <c r="AE267" s="555">
        <f t="shared" si="397"/>
        <v>1849.6000000000008</v>
      </c>
      <c r="AF267" s="538">
        <f t="shared" si="398"/>
        <v>1.9301470588235291E-2</v>
      </c>
      <c r="AH267" s="177">
        <f t="shared" si="399"/>
        <v>0.68285116554467007</v>
      </c>
      <c r="AI267" s="177">
        <f t="shared" si="400"/>
        <v>0.68285116554467007</v>
      </c>
      <c r="AJ267" s="177">
        <f t="shared" si="401"/>
        <v>1.4835934559590149</v>
      </c>
      <c r="AL267" s="555">
        <f t="shared" si="402"/>
        <v>102.00000000000001</v>
      </c>
      <c r="AM267" s="469">
        <f t="shared" si="403"/>
        <v>350</v>
      </c>
      <c r="AO267">
        <f t="shared" si="381"/>
        <v>102.00000000000001</v>
      </c>
      <c r="AP267">
        <f t="shared" si="382"/>
        <v>350</v>
      </c>
      <c r="AR267" s="5">
        <f t="shared" si="406"/>
        <v>2.8571428571428572</v>
      </c>
      <c r="AS267" s="5">
        <f t="shared" si="385"/>
        <v>0.42678197846541877</v>
      </c>
      <c r="AT267" s="5">
        <f t="shared" si="386"/>
        <v>2.4303608786774387</v>
      </c>
      <c r="AU267" s="177">
        <f t="shared" si="387"/>
        <v>0.14937369246289656</v>
      </c>
      <c r="CI267" s="571">
        <f t="shared" si="404"/>
        <v>-50</v>
      </c>
    </row>
    <row r="268" spans="5:87" x14ac:dyDescent="0.25">
      <c r="E268" s="174">
        <v>52</v>
      </c>
      <c r="F268" s="221">
        <f t="shared" si="405"/>
        <v>0.10400000000000001</v>
      </c>
      <c r="G268" s="221">
        <f t="shared" si="388"/>
        <v>5.2000000000000005E-2</v>
      </c>
      <c r="H268" s="221">
        <f t="shared" si="389"/>
        <v>1.6640000000000001</v>
      </c>
      <c r="I268" s="221">
        <f t="shared" si="390"/>
        <v>0.83200000000000007</v>
      </c>
      <c r="J268" s="551">
        <f t="shared" si="356"/>
        <v>48</v>
      </c>
      <c r="K268" s="451">
        <f t="shared" si="357"/>
        <v>19.584</v>
      </c>
      <c r="L268" s="451">
        <f t="shared" si="358"/>
        <v>67.584000000000003</v>
      </c>
      <c r="M268" s="451"/>
      <c r="N268" s="221">
        <f t="shared" si="359"/>
        <v>0.28977272727272724</v>
      </c>
      <c r="O268" s="176">
        <f t="shared" si="391"/>
        <v>6.259090909090907</v>
      </c>
      <c r="P268" s="176">
        <f t="shared" si="392"/>
        <v>3.129545454545454</v>
      </c>
      <c r="Q268" s="221">
        <f t="shared" si="362"/>
        <v>0.39119318181818169</v>
      </c>
      <c r="R268" s="221">
        <f t="shared" si="393"/>
        <v>0.39119318181818169</v>
      </c>
      <c r="S268" s="221">
        <f t="shared" si="394"/>
        <v>16</v>
      </c>
      <c r="T268" s="221">
        <f t="shared" si="395"/>
        <v>0.39877995642701536</v>
      </c>
      <c r="U268" s="221">
        <f t="shared" si="366"/>
        <v>0.2492374727668846</v>
      </c>
      <c r="V268" s="221">
        <f t="shared" si="367"/>
        <v>0.61087615874236423</v>
      </c>
      <c r="W268" s="201">
        <f t="shared" si="368"/>
        <v>350</v>
      </c>
      <c r="X268" s="451">
        <f t="shared" si="369"/>
        <v>350</v>
      </c>
      <c r="Z268" s="221">
        <f t="shared" si="370"/>
        <v>1.3246753246753247</v>
      </c>
      <c r="AA268" s="177">
        <f t="shared" si="371"/>
        <v>2.029220779220779</v>
      </c>
      <c r="AB268" s="177">
        <f t="shared" si="396"/>
        <v>0.37632821723730803</v>
      </c>
      <c r="AC268" s="177"/>
      <c r="AD268" s="177">
        <f t="shared" si="373"/>
        <v>0.4595588235294118</v>
      </c>
      <c r="AE268" s="555">
        <f t="shared" si="397"/>
        <v>1885.8666666666672</v>
      </c>
      <c r="AF268" s="538">
        <f t="shared" si="398"/>
        <v>1.9301470588235291E-2</v>
      </c>
      <c r="AH268" s="177">
        <f t="shared" si="399"/>
        <v>0.68951328589706773</v>
      </c>
      <c r="AI268" s="177">
        <f t="shared" si="400"/>
        <v>0.68951328589706773</v>
      </c>
      <c r="AJ268" s="177">
        <f t="shared" si="401"/>
        <v>1.4885283599237538</v>
      </c>
      <c r="AL268" s="555">
        <f t="shared" si="402"/>
        <v>104.00000000000001</v>
      </c>
      <c r="AM268" s="469">
        <f t="shared" si="403"/>
        <v>350</v>
      </c>
      <c r="AO268">
        <f t="shared" si="381"/>
        <v>104.00000000000001</v>
      </c>
      <c r="AP268">
        <f t="shared" si="382"/>
        <v>350</v>
      </c>
      <c r="AR268" s="5">
        <f t="shared" si="406"/>
        <v>2.8571428571428572</v>
      </c>
      <c r="AS268" s="5">
        <f t="shared" si="385"/>
        <v>0.43094580368566732</v>
      </c>
      <c r="AT268" s="5">
        <f t="shared" si="386"/>
        <v>2.4261970534571899</v>
      </c>
      <c r="AU268" s="177">
        <f t="shared" si="387"/>
        <v>0.15083103128998357</v>
      </c>
      <c r="CI268" s="571">
        <f t="shared" si="404"/>
        <v>-50</v>
      </c>
    </row>
    <row r="269" spans="5:87" x14ac:dyDescent="0.25">
      <c r="E269" s="174">
        <v>53</v>
      </c>
      <c r="F269" s="221">
        <f t="shared" si="405"/>
        <v>0.10600000000000001</v>
      </c>
      <c r="G269" s="221">
        <f t="shared" si="388"/>
        <v>5.3000000000000005E-2</v>
      </c>
      <c r="H269" s="221">
        <f t="shared" si="389"/>
        <v>1.6960000000000002</v>
      </c>
      <c r="I269" s="221">
        <f t="shared" si="390"/>
        <v>0.84800000000000009</v>
      </c>
      <c r="J269" s="551">
        <f t="shared" si="356"/>
        <v>48</v>
      </c>
      <c r="K269" s="451">
        <f t="shared" si="357"/>
        <v>19.584</v>
      </c>
      <c r="L269" s="451">
        <f t="shared" si="358"/>
        <v>67.584000000000003</v>
      </c>
      <c r="M269" s="451"/>
      <c r="N269" s="221">
        <f t="shared" si="359"/>
        <v>0.28977272727272724</v>
      </c>
      <c r="O269" s="176">
        <f t="shared" si="391"/>
        <v>6.259090909090907</v>
      </c>
      <c r="P269" s="176">
        <f t="shared" si="392"/>
        <v>3.129545454545454</v>
      </c>
      <c r="Q269" s="221">
        <f t="shared" si="362"/>
        <v>0.39119318181818169</v>
      </c>
      <c r="R269" s="221">
        <f t="shared" si="393"/>
        <v>0.39119318181818169</v>
      </c>
      <c r="S269" s="221">
        <f t="shared" si="394"/>
        <v>16</v>
      </c>
      <c r="T269" s="221">
        <f t="shared" si="395"/>
        <v>0.40644880174291947</v>
      </c>
      <c r="U269" s="221">
        <f t="shared" si="366"/>
        <v>0.25403050108932468</v>
      </c>
      <c r="V269" s="221">
        <f t="shared" si="367"/>
        <v>0.6226237771797174</v>
      </c>
      <c r="W269" s="201">
        <f t="shared" si="368"/>
        <v>350</v>
      </c>
      <c r="X269" s="451">
        <f t="shared" si="369"/>
        <v>350</v>
      </c>
      <c r="Z269" s="221">
        <f t="shared" si="370"/>
        <v>1.3246753246753247</v>
      </c>
      <c r="AA269" s="177">
        <f t="shared" si="371"/>
        <v>2.029220779220779</v>
      </c>
      <c r="AB269" s="177">
        <f t="shared" si="396"/>
        <v>0.37632821723730803</v>
      </c>
      <c r="AC269" s="177"/>
      <c r="AD269" s="177">
        <f t="shared" si="373"/>
        <v>0.4595588235294118</v>
      </c>
      <c r="AE269" s="555">
        <f t="shared" si="397"/>
        <v>1922.1333333333339</v>
      </c>
      <c r="AF269" s="538">
        <f t="shared" si="398"/>
        <v>1.9301470588235291E-2</v>
      </c>
      <c r="AH269" s="177">
        <f t="shared" si="399"/>
        <v>0.69611164950130566</v>
      </c>
      <c r="AI269" s="177">
        <f t="shared" si="400"/>
        <v>0.69611164950130566</v>
      </c>
      <c r="AJ269" s="177">
        <f t="shared" si="401"/>
        <v>1.4934160366676337</v>
      </c>
      <c r="AL269" s="555">
        <f t="shared" si="402"/>
        <v>106.00000000000001</v>
      </c>
      <c r="AM269" s="469">
        <f t="shared" si="403"/>
        <v>350</v>
      </c>
      <c r="AO269">
        <f t="shared" si="381"/>
        <v>106.00000000000001</v>
      </c>
      <c r="AP269">
        <f t="shared" si="382"/>
        <v>350</v>
      </c>
      <c r="AR269" s="5">
        <f t="shared" si="406"/>
        <v>2.8571428571428572</v>
      </c>
      <c r="AS269" s="5">
        <f t="shared" si="385"/>
        <v>0.43506978093831611</v>
      </c>
      <c r="AT269" s="5">
        <f t="shared" si="386"/>
        <v>2.422073076204541</v>
      </c>
      <c r="AU269" s="177">
        <f t="shared" si="387"/>
        <v>0.15227442332841062</v>
      </c>
      <c r="CI269" s="571">
        <f t="shared" si="404"/>
        <v>-50</v>
      </c>
    </row>
    <row r="270" spans="5:87" x14ac:dyDescent="0.25">
      <c r="E270" s="174">
        <v>54</v>
      </c>
      <c r="F270" s="221">
        <f t="shared" si="405"/>
        <v>0.10800000000000001</v>
      </c>
      <c r="G270" s="221">
        <f t="shared" si="388"/>
        <v>5.4000000000000006E-2</v>
      </c>
      <c r="H270" s="221">
        <f t="shared" si="389"/>
        <v>1.7280000000000002</v>
      </c>
      <c r="I270" s="221">
        <f t="shared" si="390"/>
        <v>0.8640000000000001</v>
      </c>
      <c r="J270" s="551">
        <f t="shared" si="356"/>
        <v>48</v>
      </c>
      <c r="K270" s="451">
        <f t="shared" si="357"/>
        <v>19.584</v>
      </c>
      <c r="L270" s="451">
        <f t="shared" si="358"/>
        <v>67.584000000000003</v>
      </c>
      <c r="M270" s="451"/>
      <c r="N270" s="221">
        <f t="shared" si="359"/>
        <v>0.28977272727272724</v>
      </c>
      <c r="O270" s="176">
        <f t="shared" si="391"/>
        <v>6.259090909090907</v>
      </c>
      <c r="P270" s="176">
        <f t="shared" si="392"/>
        <v>3.129545454545454</v>
      </c>
      <c r="Q270" s="221">
        <f t="shared" si="362"/>
        <v>0.39119318181818169</v>
      </c>
      <c r="R270" s="221">
        <f t="shared" si="393"/>
        <v>0.39119318181818169</v>
      </c>
      <c r="S270" s="221">
        <f t="shared" si="394"/>
        <v>16</v>
      </c>
      <c r="T270" s="221">
        <f t="shared" si="395"/>
        <v>0.41411764705882365</v>
      </c>
      <c r="U270" s="221">
        <f t="shared" si="366"/>
        <v>0.25882352941176479</v>
      </c>
      <c r="V270" s="221">
        <f t="shared" si="367"/>
        <v>0.63437139561707057</v>
      </c>
      <c r="W270" s="201">
        <f t="shared" si="368"/>
        <v>350</v>
      </c>
      <c r="X270" s="451">
        <f t="shared" si="369"/>
        <v>350</v>
      </c>
      <c r="Z270" s="221">
        <f t="shared" si="370"/>
        <v>1.3246753246753247</v>
      </c>
      <c r="AA270" s="177">
        <f t="shared" si="371"/>
        <v>2.029220779220779</v>
      </c>
      <c r="AB270" s="177">
        <f t="shared" si="396"/>
        <v>0.37632821723730803</v>
      </c>
      <c r="AC270" s="177"/>
      <c r="AD270" s="177">
        <f t="shared" si="373"/>
        <v>0.4595588235294118</v>
      </c>
      <c r="AE270" s="555">
        <f t="shared" si="397"/>
        <v>1958.4000000000005</v>
      </c>
      <c r="AF270" s="538">
        <f t="shared" si="398"/>
        <v>1.9301470588235291E-2</v>
      </c>
      <c r="AH270" s="177">
        <f t="shared" si="399"/>
        <v>0.70264805252294393</v>
      </c>
      <c r="AI270" s="177">
        <f t="shared" si="400"/>
        <v>0.70264805252294393</v>
      </c>
      <c r="AJ270" s="177">
        <f t="shared" si="401"/>
        <v>1.4982578166836622</v>
      </c>
      <c r="AL270" s="555">
        <f t="shared" si="402"/>
        <v>108.00000000000001</v>
      </c>
      <c r="AM270" s="469">
        <f t="shared" si="403"/>
        <v>350</v>
      </c>
      <c r="AO270">
        <f t="shared" si="381"/>
        <v>108.00000000000001</v>
      </c>
      <c r="AP270">
        <f t="shared" si="382"/>
        <v>350</v>
      </c>
      <c r="AR270" s="5">
        <f t="shared" si="406"/>
        <v>2.8571428571428572</v>
      </c>
      <c r="AS270" s="5">
        <f t="shared" si="385"/>
        <v>0.43915503282683999</v>
      </c>
      <c r="AT270" s="5">
        <f t="shared" si="386"/>
        <v>2.4179878243160173</v>
      </c>
      <c r="AU270" s="177">
        <f t="shared" si="387"/>
        <v>0.15370426148939398</v>
      </c>
      <c r="CI270" s="571">
        <f t="shared" si="404"/>
        <v>-50</v>
      </c>
    </row>
    <row r="271" spans="5:87" x14ac:dyDescent="0.25">
      <c r="E271" s="174">
        <v>55</v>
      </c>
      <c r="F271" s="221">
        <f t="shared" si="405"/>
        <v>0.11000000000000001</v>
      </c>
      <c r="G271" s="221">
        <f t="shared" si="388"/>
        <v>5.5000000000000007E-2</v>
      </c>
      <c r="H271" s="221">
        <f t="shared" si="389"/>
        <v>1.7600000000000002</v>
      </c>
      <c r="I271" s="221">
        <f t="shared" si="390"/>
        <v>0.88000000000000012</v>
      </c>
      <c r="J271" s="551">
        <f t="shared" si="356"/>
        <v>48</v>
      </c>
      <c r="K271" s="451">
        <f t="shared" si="357"/>
        <v>19.584</v>
      </c>
      <c r="L271" s="451">
        <f t="shared" si="358"/>
        <v>67.584000000000003</v>
      </c>
      <c r="M271" s="451"/>
      <c r="N271" s="221">
        <f t="shared" si="359"/>
        <v>0.28977272727272724</v>
      </c>
      <c r="O271" s="176">
        <f t="shared" si="391"/>
        <v>6.259090909090907</v>
      </c>
      <c r="P271" s="176">
        <f t="shared" si="392"/>
        <v>3.129545454545454</v>
      </c>
      <c r="Q271" s="221">
        <f t="shared" si="362"/>
        <v>0.39119318181818169</v>
      </c>
      <c r="R271" s="221">
        <f t="shared" si="393"/>
        <v>0.39119318181818169</v>
      </c>
      <c r="S271" s="221">
        <f t="shared" si="394"/>
        <v>16</v>
      </c>
      <c r="T271" s="221">
        <f t="shared" si="395"/>
        <v>0.42178649237472776</v>
      </c>
      <c r="U271" s="221">
        <f t="shared" si="366"/>
        <v>0.26361655773420484</v>
      </c>
      <c r="V271" s="221">
        <f t="shared" si="367"/>
        <v>0.64611901405442373</v>
      </c>
      <c r="W271" s="201">
        <f t="shared" si="368"/>
        <v>350</v>
      </c>
      <c r="X271" s="451">
        <f t="shared" si="369"/>
        <v>350</v>
      </c>
      <c r="Z271" s="221">
        <f t="shared" si="370"/>
        <v>1.3246753246753247</v>
      </c>
      <c r="AA271" s="177">
        <f t="shared" si="371"/>
        <v>2.029220779220779</v>
      </c>
      <c r="AB271" s="177">
        <f t="shared" si="396"/>
        <v>0.37632821723730803</v>
      </c>
      <c r="AC271" s="177"/>
      <c r="AD271" s="177">
        <f t="shared" si="373"/>
        <v>0.4595588235294118</v>
      </c>
      <c r="AE271" s="555">
        <f t="shared" si="397"/>
        <v>1994.6666666666672</v>
      </c>
      <c r="AF271" s="538">
        <f t="shared" si="398"/>
        <v>1.9301470588235291E-2</v>
      </c>
      <c r="AH271" s="177">
        <f t="shared" si="399"/>
        <v>0.70912420834233481</v>
      </c>
      <c r="AI271" s="177">
        <f t="shared" si="400"/>
        <v>0.70912420834233481</v>
      </c>
      <c r="AJ271" s="177">
        <f t="shared" si="401"/>
        <v>1.5030549691424702</v>
      </c>
      <c r="AL271" s="555">
        <f t="shared" si="402"/>
        <v>110.00000000000001</v>
      </c>
      <c r="AM271" s="469">
        <f t="shared" si="403"/>
        <v>350</v>
      </c>
      <c r="AO271">
        <f t="shared" si="381"/>
        <v>110.00000000000001</v>
      </c>
      <c r="AP271">
        <f t="shared" si="382"/>
        <v>350</v>
      </c>
      <c r="AR271" s="5">
        <f t="shared" si="406"/>
        <v>2.8571428571428572</v>
      </c>
      <c r="AS271" s="5">
        <f t="shared" si="385"/>
        <v>0.44320263021395928</v>
      </c>
      <c r="AT271" s="5">
        <f t="shared" si="386"/>
        <v>2.4139402269288981</v>
      </c>
      <c r="AU271" s="177">
        <f t="shared" si="387"/>
        <v>0.15512092057488575</v>
      </c>
      <c r="CI271" s="571">
        <f t="shared" si="404"/>
        <v>-50</v>
      </c>
    </row>
    <row r="272" spans="5:87" x14ac:dyDescent="0.25">
      <c r="E272" s="174">
        <v>56</v>
      </c>
      <c r="F272" s="221">
        <f t="shared" si="405"/>
        <v>0.11200000000000002</v>
      </c>
      <c r="G272" s="221">
        <f t="shared" si="388"/>
        <v>5.6000000000000008E-2</v>
      </c>
      <c r="H272" s="221">
        <f t="shared" si="389"/>
        <v>1.7920000000000003</v>
      </c>
      <c r="I272" s="221">
        <f t="shared" si="390"/>
        <v>0.89600000000000013</v>
      </c>
      <c r="J272" s="551">
        <f t="shared" si="356"/>
        <v>48</v>
      </c>
      <c r="K272" s="451">
        <f t="shared" si="357"/>
        <v>19.584</v>
      </c>
      <c r="L272" s="451">
        <f t="shared" si="358"/>
        <v>67.584000000000003</v>
      </c>
      <c r="M272" s="451"/>
      <c r="N272" s="221">
        <f t="shared" si="359"/>
        <v>0.28977272727272724</v>
      </c>
      <c r="O272" s="176">
        <f t="shared" si="391"/>
        <v>6.259090909090907</v>
      </c>
      <c r="P272" s="176">
        <f t="shared" si="392"/>
        <v>3.129545454545454</v>
      </c>
      <c r="Q272" s="221">
        <f t="shared" si="362"/>
        <v>0.39119318181818169</v>
      </c>
      <c r="R272" s="221">
        <f t="shared" si="393"/>
        <v>0.39119318181818169</v>
      </c>
      <c r="S272" s="221">
        <f t="shared" si="394"/>
        <v>16</v>
      </c>
      <c r="T272" s="221">
        <f t="shared" si="395"/>
        <v>0.42945533769063193</v>
      </c>
      <c r="U272" s="221">
        <f t="shared" si="366"/>
        <v>0.26840958605664494</v>
      </c>
      <c r="V272" s="221">
        <f t="shared" si="367"/>
        <v>0.6578666324917769</v>
      </c>
      <c r="W272" s="201">
        <f t="shared" si="368"/>
        <v>350</v>
      </c>
      <c r="X272" s="451">
        <f t="shared" si="369"/>
        <v>350</v>
      </c>
      <c r="Z272" s="221">
        <f t="shared" si="370"/>
        <v>1.3246753246753247</v>
      </c>
      <c r="AA272" s="177">
        <f t="shared" si="371"/>
        <v>2.029220779220779</v>
      </c>
      <c r="AB272" s="177">
        <f t="shared" si="396"/>
        <v>0.37632821723730803</v>
      </c>
      <c r="AC272" s="177"/>
      <c r="AD272" s="177">
        <f t="shared" si="373"/>
        <v>0.4595588235294118</v>
      </c>
      <c r="AE272" s="555">
        <f t="shared" si="397"/>
        <v>2030.9333333333341</v>
      </c>
      <c r="AF272" s="538">
        <f t="shared" si="398"/>
        <v>1.9301470588235291E-2</v>
      </c>
      <c r="AH272" s="177">
        <f t="shared" si="399"/>
        <v>0.71554175279993282</v>
      </c>
      <c r="AI272" s="177">
        <f t="shared" si="400"/>
        <v>0.71554175279993282</v>
      </c>
      <c r="AJ272" s="177">
        <f t="shared" si="401"/>
        <v>1.5078087057777281</v>
      </c>
      <c r="AL272" s="555">
        <f t="shared" si="402"/>
        <v>112.00000000000001</v>
      </c>
      <c r="AM272" s="469">
        <f t="shared" si="403"/>
        <v>350</v>
      </c>
      <c r="AO272">
        <f t="shared" si="381"/>
        <v>112.00000000000001</v>
      </c>
      <c r="AP272">
        <f t="shared" si="382"/>
        <v>350</v>
      </c>
      <c r="AR272" s="5">
        <f t="shared" si="406"/>
        <v>2.8571428571428572</v>
      </c>
      <c r="AS272" s="5">
        <f t="shared" si="385"/>
        <v>0.44721359549995804</v>
      </c>
      <c r="AT272" s="5">
        <f t="shared" si="386"/>
        <v>2.4099292616428993</v>
      </c>
      <c r="AU272" s="177">
        <f t="shared" si="387"/>
        <v>0.15652475842498531</v>
      </c>
      <c r="CI272" s="571">
        <f t="shared" si="404"/>
        <v>-50</v>
      </c>
    </row>
    <row r="273" spans="5:87" x14ac:dyDescent="0.25">
      <c r="E273" s="174">
        <v>57</v>
      </c>
      <c r="F273" s="221">
        <f t="shared" si="405"/>
        <v>0.11399999999999999</v>
      </c>
      <c r="G273" s="221">
        <f t="shared" si="388"/>
        <v>5.6999999999999995E-2</v>
      </c>
      <c r="H273" s="221">
        <f t="shared" si="389"/>
        <v>1.8239999999999998</v>
      </c>
      <c r="I273" s="221">
        <f t="shared" si="390"/>
        <v>0.91199999999999992</v>
      </c>
      <c r="J273" s="551">
        <f t="shared" si="356"/>
        <v>48</v>
      </c>
      <c r="K273" s="451">
        <f t="shared" si="357"/>
        <v>19.584</v>
      </c>
      <c r="L273" s="451">
        <f t="shared" si="358"/>
        <v>67.584000000000003</v>
      </c>
      <c r="M273" s="451"/>
      <c r="N273" s="221">
        <f t="shared" si="359"/>
        <v>0.28977272727272724</v>
      </c>
      <c r="O273" s="176">
        <f t="shared" si="391"/>
        <v>6.259090909090907</v>
      </c>
      <c r="P273" s="176">
        <f t="shared" si="392"/>
        <v>3.129545454545454</v>
      </c>
      <c r="Q273" s="221">
        <f t="shared" si="362"/>
        <v>0.39119318181818169</v>
      </c>
      <c r="R273" s="221">
        <f t="shared" si="393"/>
        <v>0.39119318181818169</v>
      </c>
      <c r="S273" s="221">
        <f t="shared" si="394"/>
        <v>16</v>
      </c>
      <c r="T273" s="221">
        <f t="shared" si="395"/>
        <v>0.43712418300653594</v>
      </c>
      <c r="U273" s="221">
        <f t="shared" si="366"/>
        <v>0.273202614379085</v>
      </c>
      <c r="V273" s="221">
        <f t="shared" si="367"/>
        <v>0.66961425092912985</v>
      </c>
      <c r="W273" s="201">
        <f t="shared" si="368"/>
        <v>350</v>
      </c>
      <c r="X273" s="451">
        <f t="shared" si="369"/>
        <v>350</v>
      </c>
      <c r="Z273" s="221">
        <f t="shared" si="370"/>
        <v>1.3246753246753247</v>
      </c>
      <c r="AA273" s="177">
        <f t="shared" si="371"/>
        <v>2.029220779220779</v>
      </c>
      <c r="AB273" s="177">
        <f t="shared" si="396"/>
        <v>0.37632821723730803</v>
      </c>
      <c r="AC273" s="177"/>
      <c r="AD273" s="177">
        <f t="shared" si="373"/>
        <v>0.4595588235294118</v>
      </c>
      <c r="AE273" s="555">
        <f t="shared" si="397"/>
        <v>2067.1999999999998</v>
      </c>
      <c r="AF273" s="538">
        <f t="shared" si="398"/>
        <v>1.9301470588235291E-2</v>
      </c>
      <c r="AH273" s="177">
        <f t="shared" si="399"/>
        <v>0.72190224902188604</v>
      </c>
      <c r="AI273" s="177">
        <f t="shared" si="400"/>
        <v>0.72190224902188604</v>
      </c>
      <c r="AJ273" s="177">
        <f t="shared" si="401"/>
        <v>1.5125201844606564</v>
      </c>
      <c r="AL273" s="555">
        <f t="shared" si="402"/>
        <v>113.99999999999999</v>
      </c>
      <c r="AM273" s="469">
        <f t="shared" si="403"/>
        <v>350</v>
      </c>
      <c r="AO273">
        <f t="shared" si="381"/>
        <v>113.99999999999999</v>
      </c>
      <c r="AP273">
        <f t="shared" si="382"/>
        <v>350</v>
      </c>
      <c r="AR273" s="5">
        <f t="shared" si="406"/>
        <v>2.8571428571428572</v>
      </c>
      <c r="AS273" s="5">
        <f t="shared" si="385"/>
        <v>0.45118890563867881</v>
      </c>
      <c r="AT273" s="5">
        <f t="shared" si="386"/>
        <v>2.4059539515041783</v>
      </c>
      <c r="AU273" s="177">
        <f t="shared" si="387"/>
        <v>0.15791611697353758</v>
      </c>
      <c r="CI273" s="571">
        <f t="shared" si="404"/>
        <v>-50</v>
      </c>
    </row>
    <row r="274" spans="5:87" x14ac:dyDescent="0.25">
      <c r="E274" s="174">
        <v>58</v>
      </c>
      <c r="F274" s="221">
        <f t="shared" si="405"/>
        <v>0.11599999999999999</v>
      </c>
      <c r="G274" s="221">
        <f t="shared" si="388"/>
        <v>5.7999999999999996E-2</v>
      </c>
      <c r="H274" s="221">
        <f t="shared" si="389"/>
        <v>1.8559999999999999</v>
      </c>
      <c r="I274" s="221">
        <f t="shared" si="390"/>
        <v>0.92799999999999994</v>
      </c>
      <c r="J274" s="551">
        <f t="shared" si="356"/>
        <v>48</v>
      </c>
      <c r="K274" s="451">
        <f t="shared" si="357"/>
        <v>19.584</v>
      </c>
      <c r="L274" s="451">
        <f t="shared" si="358"/>
        <v>67.584000000000003</v>
      </c>
      <c r="M274" s="451"/>
      <c r="N274" s="221">
        <f t="shared" si="359"/>
        <v>0.28977272727272724</v>
      </c>
      <c r="O274" s="176">
        <f t="shared" si="391"/>
        <v>6.259090909090907</v>
      </c>
      <c r="P274" s="176">
        <f t="shared" si="392"/>
        <v>3.129545454545454</v>
      </c>
      <c r="Q274" s="221">
        <f t="shared" si="362"/>
        <v>0.39119318181818169</v>
      </c>
      <c r="R274" s="221">
        <f t="shared" si="393"/>
        <v>0.39119318181818169</v>
      </c>
      <c r="S274" s="221">
        <f t="shared" si="394"/>
        <v>16</v>
      </c>
      <c r="T274" s="221">
        <f t="shared" si="395"/>
        <v>0.44479302832244005</v>
      </c>
      <c r="U274" s="221">
        <f t="shared" si="366"/>
        <v>0.27799564270152499</v>
      </c>
      <c r="V274" s="221">
        <f t="shared" si="367"/>
        <v>0.68136186936648291</v>
      </c>
      <c r="W274" s="201">
        <f t="shared" si="368"/>
        <v>350</v>
      </c>
      <c r="X274" s="451">
        <f t="shared" si="369"/>
        <v>350</v>
      </c>
      <c r="Z274" s="221">
        <f t="shared" si="370"/>
        <v>1.3246753246753247</v>
      </c>
      <c r="AA274" s="177">
        <f t="shared" si="371"/>
        <v>2.029220779220779</v>
      </c>
      <c r="AB274" s="177">
        <f t="shared" si="396"/>
        <v>0.37632821723730803</v>
      </c>
      <c r="AC274" s="177"/>
      <c r="AD274" s="177">
        <f t="shared" si="373"/>
        <v>0.4595588235294118</v>
      </c>
      <c r="AE274" s="555">
        <f t="shared" si="397"/>
        <v>2103.4666666666667</v>
      </c>
      <c r="AF274" s="538">
        <f t="shared" si="398"/>
        <v>1.9301470588235291E-2</v>
      </c>
      <c r="AH274" s="177">
        <f t="shared" si="399"/>
        <v>0.72820719186623961</v>
      </c>
      <c r="AI274" s="177">
        <f t="shared" si="400"/>
        <v>0.72820719186623961</v>
      </c>
      <c r="AJ274" s="177">
        <f t="shared" si="401"/>
        <v>1.5171905124935108</v>
      </c>
      <c r="AL274" s="555">
        <f t="shared" si="402"/>
        <v>115.99999999999999</v>
      </c>
      <c r="AM274" s="469">
        <f t="shared" si="403"/>
        <v>350</v>
      </c>
      <c r="AO274">
        <f t="shared" si="381"/>
        <v>115.99999999999999</v>
      </c>
      <c r="AP274">
        <f t="shared" si="382"/>
        <v>350</v>
      </c>
      <c r="AR274" s="5">
        <f t="shared" si="406"/>
        <v>2.8571428571428572</v>
      </c>
      <c r="AS274" s="5">
        <f t="shared" si="385"/>
        <v>0.45512949491639981</v>
      </c>
      <c r="AT274" s="5">
        <f t="shared" si="386"/>
        <v>2.4020133622264574</v>
      </c>
      <c r="AU274" s="177">
        <f t="shared" si="387"/>
        <v>0.15929532322073994</v>
      </c>
      <c r="CI274" s="571">
        <f t="shared" si="404"/>
        <v>-50</v>
      </c>
    </row>
    <row r="275" spans="5:87" x14ac:dyDescent="0.25">
      <c r="E275" s="174">
        <v>59</v>
      </c>
      <c r="F275" s="221">
        <f t="shared" si="405"/>
        <v>0.11799999999999999</v>
      </c>
      <c r="G275" s="221">
        <f t="shared" si="388"/>
        <v>5.8999999999999997E-2</v>
      </c>
      <c r="H275" s="221">
        <f t="shared" si="389"/>
        <v>1.8879999999999999</v>
      </c>
      <c r="I275" s="221">
        <f t="shared" si="390"/>
        <v>0.94399999999999995</v>
      </c>
      <c r="J275" s="551">
        <f t="shared" si="356"/>
        <v>48</v>
      </c>
      <c r="K275" s="451">
        <f t="shared" si="357"/>
        <v>19.584</v>
      </c>
      <c r="L275" s="451">
        <f t="shared" si="358"/>
        <v>67.584000000000003</v>
      </c>
      <c r="M275" s="451"/>
      <c r="N275" s="221">
        <f t="shared" si="359"/>
        <v>0.28977272727272724</v>
      </c>
      <c r="O275" s="176">
        <f t="shared" si="391"/>
        <v>6.259090909090907</v>
      </c>
      <c r="P275" s="176">
        <f t="shared" si="392"/>
        <v>3.129545454545454</v>
      </c>
      <c r="Q275" s="221">
        <f t="shared" si="362"/>
        <v>0.39119318181818169</v>
      </c>
      <c r="R275" s="221">
        <f t="shared" si="393"/>
        <v>0.39119318181818169</v>
      </c>
      <c r="S275" s="221">
        <f t="shared" si="394"/>
        <v>16</v>
      </c>
      <c r="T275" s="221">
        <f t="shared" si="395"/>
        <v>0.45246187363834423</v>
      </c>
      <c r="U275" s="221">
        <f t="shared" si="366"/>
        <v>0.28278867102396515</v>
      </c>
      <c r="V275" s="221">
        <f t="shared" si="367"/>
        <v>0.69310948780383619</v>
      </c>
      <c r="W275" s="201">
        <f t="shared" si="368"/>
        <v>350</v>
      </c>
      <c r="X275" s="451">
        <f t="shared" si="369"/>
        <v>350</v>
      </c>
      <c r="Z275" s="221">
        <f t="shared" si="370"/>
        <v>1.3246753246753247</v>
      </c>
      <c r="AA275" s="177">
        <f t="shared" si="371"/>
        <v>2.029220779220779</v>
      </c>
      <c r="AB275" s="177">
        <f t="shared" si="396"/>
        <v>0.37632821723730803</v>
      </c>
      <c r="AC275" s="177"/>
      <c r="AD275" s="177">
        <f t="shared" si="373"/>
        <v>0.4595588235294118</v>
      </c>
      <c r="AE275" s="555">
        <f t="shared" si="397"/>
        <v>2139.7333333333336</v>
      </c>
      <c r="AF275" s="538">
        <f t="shared" si="398"/>
        <v>1.9301470588235291E-2</v>
      </c>
      <c r="AH275" s="177">
        <f t="shared" si="399"/>
        <v>0.73445801202558292</v>
      </c>
      <c r="AI275" s="177">
        <f t="shared" si="400"/>
        <v>0.73445801202558292</v>
      </c>
      <c r="AJ275" s="177">
        <f t="shared" si="401"/>
        <v>1.5218207496485798</v>
      </c>
      <c r="AL275" s="555">
        <f t="shared" si="402"/>
        <v>118</v>
      </c>
      <c r="AM275" s="469">
        <f t="shared" si="403"/>
        <v>350</v>
      </c>
      <c r="AO275">
        <f t="shared" si="381"/>
        <v>118</v>
      </c>
      <c r="AP275">
        <f t="shared" si="382"/>
        <v>350</v>
      </c>
      <c r="AR275" s="5">
        <f t="shared" si="406"/>
        <v>2.8571428571428572</v>
      </c>
      <c r="AS275" s="5">
        <f t="shared" si="385"/>
        <v>0.45903625751598931</v>
      </c>
      <c r="AT275" s="5">
        <f t="shared" si="386"/>
        <v>2.398106599626868</v>
      </c>
      <c r="AU275" s="177">
        <f t="shared" si="387"/>
        <v>0.16066269013059625</v>
      </c>
      <c r="CI275" s="571">
        <f t="shared" si="404"/>
        <v>-50</v>
      </c>
    </row>
    <row r="276" spans="5:87" x14ac:dyDescent="0.25">
      <c r="E276" s="174">
        <v>60</v>
      </c>
      <c r="F276" s="221">
        <f t="shared" si="405"/>
        <v>0.12</v>
      </c>
      <c r="G276" s="221">
        <f t="shared" si="388"/>
        <v>0.06</v>
      </c>
      <c r="H276" s="221">
        <f t="shared" si="389"/>
        <v>1.92</v>
      </c>
      <c r="I276" s="221">
        <f t="shared" si="390"/>
        <v>0.96</v>
      </c>
      <c r="J276" s="551">
        <f t="shared" si="356"/>
        <v>48</v>
      </c>
      <c r="K276" s="451">
        <f t="shared" si="357"/>
        <v>19.584</v>
      </c>
      <c r="L276" s="451">
        <f t="shared" si="358"/>
        <v>67.584000000000003</v>
      </c>
      <c r="M276" s="451"/>
      <c r="N276" s="221">
        <f t="shared" si="359"/>
        <v>0.28977272727272724</v>
      </c>
      <c r="O276" s="176">
        <f t="shared" si="391"/>
        <v>6.259090909090907</v>
      </c>
      <c r="P276" s="176">
        <f t="shared" si="392"/>
        <v>3.129545454545454</v>
      </c>
      <c r="Q276" s="221">
        <f t="shared" si="362"/>
        <v>0.39119318181818169</v>
      </c>
      <c r="R276" s="221">
        <f t="shared" si="393"/>
        <v>0.39119318181818169</v>
      </c>
      <c r="S276" s="221">
        <f t="shared" si="394"/>
        <v>16</v>
      </c>
      <c r="T276" s="221">
        <f t="shared" si="395"/>
        <v>0.4601307189542484</v>
      </c>
      <c r="U276" s="221">
        <f t="shared" si="366"/>
        <v>0.28758169934640526</v>
      </c>
      <c r="V276" s="221">
        <f t="shared" si="367"/>
        <v>0.70485710624118936</v>
      </c>
      <c r="W276" s="201">
        <f t="shared" si="368"/>
        <v>350</v>
      </c>
      <c r="X276" s="451">
        <f t="shared" si="369"/>
        <v>350</v>
      </c>
      <c r="Z276" s="221">
        <f t="shared" si="370"/>
        <v>1.3246753246753247</v>
      </c>
      <c r="AA276" s="177">
        <f t="shared" si="371"/>
        <v>2.029220779220779</v>
      </c>
      <c r="AB276" s="177">
        <f t="shared" si="396"/>
        <v>0.37632821723730803</v>
      </c>
      <c r="AC276" s="177"/>
      <c r="AD276" s="177">
        <f t="shared" si="373"/>
        <v>0.4595588235294118</v>
      </c>
      <c r="AE276" s="555">
        <f t="shared" si="397"/>
        <v>2176.0000000000005</v>
      </c>
      <c r="AF276" s="538">
        <f t="shared" si="398"/>
        <v>1.9301470588235291E-2</v>
      </c>
      <c r="AH276" s="177">
        <f t="shared" si="399"/>
        <v>0.74065607981804116</v>
      </c>
      <c r="AI276" s="177">
        <f t="shared" si="400"/>
        <v>0.74065607981804116</v>
      </c>
      <c r="AJ276" s="177">
        <f t="shared" si="401"/>
        <v>1.5264119109763268</v>
      </c>
      <c r="AL276" s="555">
        <f t="shared" si="402"/>
        <v>120</v>
      </c>
      <c r="AM276" s="469">
        <f t="shared" si="403"/>
        <v>350</v>
      </c>
      <c r="AO276">
        <f t="shared" si="381"/>
        <v>120</v>
      </c>
      <c r="AP276">
        <f t="shared" si="382"/>
        <v>350</v>
      </c>
      <c r="AR276" s="5">
        <f t="shared" si="406"/>
        <v>2.8571428571428572</v>
      </c>
      <c r="AS276" s="5">
        <f t="shared" si="385"/>
        <v>0.46291004988627577</v>
      </c>
      <c r="AT276" s="5">
        <f t="shared" si="386"/>
        <v>2.3942328072565813</v>
      </c>
      <c r="AU276" s="177">
        <f t="shared" si="387"/>
        <v>0.16201851746019652</v>
      </c>
      <c r="CI276" s="571">
        <f t="shared" si="404"/>
        <v>-50</v>
      </c>
    </row>
    <row r="277" spans="5:87" x14ac:dyDescent="0.25">
      <c r="E277" s="174">
        <v>61</v>
      </c>
      <c r="F277" s="221">
        <f t="shared" si="405"/>
        <v>0.122</v>
      </c>
      <c r="G277" s="221">
        <f t="shared" si="388"/>
        <v>6.0999999999999999E-2</v>
      </c>
      <c r="H277" s="221">
        <f t="shared" si="389"/>
        <v>1.952</v>
      </c>
      <c r="I277" s="221">
        <f t="shared" si="390"/>
        <v>0.97599999999999998</v>
      </c>
      <c r="J277" s="551">
        <f t="shared" si="356"/>
        <v>48</v>
      </c>
      <c r="K277" s="451">
        <f t="shared" si="357"/>
        <v>19.584</v>
      </c>
      <c r="L277" s="451">
        <f t="shared" si="358"/>
        <v>67.584000000000003</v>
      </c>
      <c r="M277" s="451"/>
      <c r="N277" s="221">
        <f t="shared" si="359"/>
        <v>0.28977272727272724</v>
      </c>
      <c r="O277" s="176">
        <f t="shared" si="391"/>
        <v>6.259090909090907</v>
      </c>
      <c r="P277" s="176">
        <f t="shared" si="392"/>
        <v>3.129545454545454</v>
      </c>
      <c r="Q277" s="221">
        <f t="shared" si="362"/>
        <v>0.39119318181818169</v>
      </c>
      <c r="R277" s="221">
        <f t="shared" si="393"/>
        <v>0.39119318181818169</v>
      </c>
      <c r="S277" s="221">
        <f t="shared" si="394"/>
        <v>16</v>
      </c>
      <c r="T277" s="221">
        <f t="shared" si="395"/>
        <v>0.46779956427015251</v>
      </c>
      <c r="U277" s="221">
        <f t="shared" si="366"/>
        <v>0.29237472766884531</v>
      </c>
      <c r="V277" s="221">
        <f t="shared" si="367"/>
        <v>0.71660472467854242</v>
      </c>
      <c r="W277" s="201">
        <f t="shared" si="368"/>
        <v>350</v>
      </c>
      <c r="X277" s="451">
        <f t="shared" si="369"/>
        <v>350</v>
      </c>
      <c r="Z277" s="221">
        <f t="shared" si="370"/>
        <v>1.3246753246753247</v>
      </c>
      <c r="AA277" s="177">
        <f t="shared" si="371"/>
        <v>2.029220779220779</v>
      </c>
      <c r="AB277" s="177">
        <f t="shared" si="396"/>
        <v>0.37632821723730803</v>
      </c>
      <c r="AC277" s="177"/>
      <c r="AD277" s="177">
        <f t="shared" si="373"/>
        <v>0.4595588235294118</v>
      </c>
      <c r="AE277" s="555">
        <f t="shared" si="397"/>
        <v>2212.2666666666669</v>
      </c>
      <c r="AF277" s="538">
        <f t="shared" si="398"/>
        <v>1.9301470588235291E-2</v>
      </c>
      <c r="AH277" s="177">
        <f t="shared" si="399"/>
        <v>0.74680270869506471</v>
      </c>
      <c r="AI277" s="177">
        <f t="shared" si="400"/>
        <v>0.74680270869506471</v>
      </c>
      <c r="AJ277" s="177">
        <f t="shared" si="401"/>
        <v>1.5309649694037515</v>
      </c>
      <c r="AL277" s="555">
        <f t="shared" si="402"/>
        <v>122</v>
      </c>
      <c r="AM277" s="469">
        <f t="shared" si="403"/>
        <v>350</v>
      </c>
      <c r="AO277">
        <f t="shared" si="381"/>
        <v>122</v>
      </c>
      <c r="AP277">
        <f t="shared" si="382"/>
        <v>350</v>
      </c>
      <c r="AR277" s="5">
        <f t="shared" si="406"/>
        <v>2.8571428571428572</v>
      </c>
      <c r="AS277" s="5">
        <f t="shared" si="385"/>
        <v>0.46675169293441543</v>
      </c>
      <c r="AT277" s="5">
        <f t="shared" si="386"/>
        <v>2.3903911642084417</v>
      </c>
      <c r="AU277" s="177">
        <f t="shared" si="387"/>
        <v>0.16336309252704539</v>
      </c>
      <c r="CI277" s="571">
        <f t="shared" si="404"/>
        <v>-50</v>
      </c>
    </row>
    <row r="278" spans="5:87" x14ac:dyDescent="0.25">
      <c r="E278" s="174">
        <v>62</v>
      </c>
      <c r="F278" s="221">
        <f t="shared" si="405"/>
        <v>0.124</v>
      </c>
      <c r="G278" s="221">
        <f t="shared" si="388"/>
        <v>6.2E-2</v>
      </c>
      <c r="H278" s="221">
        <f t="shared" si="389"/>
        <v>1.984</v>
      </c>
      <c r="I278" s="221">
        <f t="shared" si="390"/>
        <v>0.99199999999999999</v>
      </c>
      <c r="J278" s="551">
        <f t="shared" si="356"/>
        <v>48</v>
      </c>
      <c r="K278" s="451">
        <f t="shared" si="357"/>
        <v>19.584</v>
      </c>
      <c r="L278" s="451">
        <f t="shared" si="358"/>
        <v>67.584000000000003</v>
      </c>
      <c r="M278" s="451"/>
      <c r="N278" s="221">
        <f t="shared" si="359"/>
        <v>0.28977272727272724</v>
      </c>
      <c r="O278" s="176">
        <f t="shared" si="391"/>
        <v>6.259090909090907</v>
      </c>
      <c r="P278" s="176">
        <f t="shared" si="392"/>
        <v>3.129545454545454</v>
      </c>
      <c r="Q278" s="221">
        <f t="shared" si="362"/>
        <v>0.39119318181818169</v>
      </c>
      <c r="R278" s="221">
        <f t="shared" si="393"/>
        <v>0.39119318181818169</v>
      </c>
      <c r="S278" s="221">
        <f t="shared" si="394"/>
        <v>16</v>
      </c>
      <c r="T278" s="221">
        <f t="shared" si="395"/>
        <v>0.47546840958605668</v>
      </c>
      <c r="U278" s="221">
        <f t="shared" si="366"/>
        <v>0.29716775599128542</v>
      </c>
      <c r="V278" s="221">
        <f t="shared" si="367"/>
        <v>0.7283523431158957</v>
      </c>
      <c r="W278" s="201">
        <f t="shared" si="368"/>
        <v>350</v>
      </c>
      <c r="X278" s="451">
        <f t="shared" si="369"/>
        <v>350</v>
      </c>
      <c r="Z278" s="221">
        <f t="shared" si="370"/>
        <v>1.3246753246753247</v>
      </c>
      <c r="AA278" s="177">
        <f t="shared" si="371"/>
        <v>2.029220779220779</v>
      </c>
      <c r="AB278" s="177">
        <f t="shared" si="396"/>
        <v>0.37632821723730803</v>
      </c>
      <c r="AC278" s="177"/>
      <c r="AD278" s="177">
        <f t="shared" si="373"/>
        <v>0.4595588235294118</v>
      </c>
      <c r="AE278" s="555">
        <f t="shared" si="397"/>
        <v>2248.5333333333338</v>
      </c>
      <c r="AF278" s="538">
        <f t="shared" si="398"/>
        <v>1.9301470588235291E-2</v>
      </c>
      <c r="AH278" s="177">
        <f t="shared" si="399"/>
        <v>0.75289915849145617</v>
      </c>
      <c r="AI278" s="177">
        <f t="shared" si="400"/>
        <v>0.75289915849145617</v>
      </c>
      <c r="AJ278" s="177">
        <f t="shared" si="401"/>
        <v>1.5354808581418193</v>
      </c>
      <c r="AL278" s="555">
        <f t="shared" si="402"/>
        <v>124</v>
      </c>
      <c r="AM278" s="469">
        <f t="shared" si="403"/>
        <v>350</v>
      </c>
      <c r="AO278">
        <f t="shared" si="381"/>
        <v>124</v>
      </c>
      <c r="AP278">
        <f t="shared" si="382"/>
        <v>350</v>
      </c>
      <c r="AR278" s="5">
        <f t="shared" si="406"/>
        <v>2.8571428571428572</v>
      </c>
      <c r="AS278" s="5">
        <f t="shared" si="385"/>
        <v>0.47056197405716005</v>
      </c>
      <c r="AT278" s="5">
        <f t="shared" si="386"/>
        <v>2.3865808830856974</v>
      </c>
      <c r="AU278" s="177">
        <f t="shared" si="387"/>
        <v>0.16469669092000602</v>
      </c>
      <c r="CI278" s="571">
        <f t="shared" si="404"/>
        <v>-50</v>
      </c>
    </row>
    <row r="279" spans="5:87" x14ac:dyDescent="0.25">
      <c r="E279" s="174">
        <v>63</v>
      </c>
      <c r="F279" s="221">
        <f t="shared" si="405"/>
        <v>0.126</v>
      </c>
      <c r="G279" s="221">
        <f t="shared" si="388"/>
        <v>6.3E-2</v>
      </c>
      <c r="H279" s="221">
        <f t="shared" si="389"/>
        <v>2.016</v>
      </c>
      <c r="I279" s="221">
        <f t="shared" si="390"/>
        <v>1.008</v>
      </c>
      <c r="J279" s="551">
        <f t="shared" si="356"/>
        <v>48</v>
      </c>
      <c r="K279" s="451">
        <f t="shared" si="357"/>
        <v>19.584</v>
      </c>
      <c r="L279" s="451">
        <f t="shared" si="358"/>
        <v>67.584000000000003</v>
      </c>
      <c r="M279" s="451"/>
      <c r="N279" s="221">
        <f t="shared" si="359"/>
        <v>0.28977272727272724</v>
      </c>
      <c r="O279" s="176">
        <f t="shared" si="391"/>
        <v>6.259090909090907</v>
      </c>
      <c r="P279" s="176">
        <f t="shared" si="392"/>
        <v>3.129545454545454</v>
      </c>
      <c r="Q279" s="221">
        <f t="shared" si="362"/>
        <v>0.39119318181818169</v>
      </c>
      <c r="R279" s="221">
        <f t="shared" si="393"/>
        <v>0.39119318181818169</v>
      </c>
      <c r="S279" s="221">
        <f t="shared" si="394"/>
        <v>16</v>
      </c>
      <c r="T279" s="221">
        <f t="shared" si="395"/>
        <v>0.4831372549019608</v>
      </c>
      <c r="U279" s="221">
        <f t="shared" si="366"/>
        <v>0.30196078431372553</v>
      </c>
      <c r="V279" s="221">
        <f t="shared" si="367"/>
        <v>0.74009996155324886</v>
      </c>
      <c r="W279" s="201">
        <f t="shared" si="368"/>
        <v>350</v>
      </c>
      <c r="X279" s="451">
        <f t="shared" si="369"/>
        <v>350</v>
      </c>
      <c r="Z279" s="221">
        <f t="shared" si="370"/>
        <v>1.3246753246753247</v>
      </c>
      <c r="AA279" s="177">
        <f t="shared" si="371"/>
        <v>2.029220779220779</v>
      </c>
      <c r="AB279" s="177">
        <f t="shared" si="396"/>
        <v>0.37632821723730803</v>
      </c>
      <c r="AC279" s="177"/>
      <c r="AD279" s="177">
        <f t="shared" si="373"/>
        <v>0.4595588235294118</v>
      </c>
      <c r="AE279" s="555">
        <f t="shared" si="397"/>
        <v>2284.8000000000006</v>
      </c>
      <c r="AF279" s="538">
        <f t="shared" si="398"/>
        <v>1.9301470588235291E-2</v>
      </c>
      <c r="AH279" s="177">
        <f t="shared" si="399"/>
        <v>0.75894663844041099</v>
      </c>
      <c r="AI279" s="177">
        <f t="shared" si="400"/>
        <v>0.75894663844041099</v>
      </c>
      <c r="AJ279" s="177">
        <f t="shared" si="401"/>
        <v>1.539960472918823</v>
      </c>
      <c r="AL279" s="555">
        <f t="shared" si="402"/>
        <v>126</v>
      </c>
      <c r="AM279" s="469">
        <f t="shared" si="403"/>
        <v>350</v>
      </c>
      <c r="AO279">
        <f t="shared" si="381"/>
        <v>126</v>
      </c>
      <c r="AP279">
        <f t="shared" si="382"/>
        <v>350</v>
      </c>
      <c r="AR279" s="5">
        <f t="shared" si="406"/>
        <v>2.8571428571428572</v>
      </c>
      <c r="AS279" s="5">
        <f t="shared" si="385"/>
        <v>0.47434164902525688</v>
      </c>
      <c r="AT279" s="5">
        <f t="shared" si="386"/>
        <v>2.3828012081176002</v>
      </c>
      <c r="AU279" s="177">
        <f t="shared" si="387"/>
        <v>0.16601957715883991</v>
      </c>
      <c r="CI279" s="571">
        <f t="shared" si="404"/>
        <v>-50</v>
      </c>
    </row>
    <row r="280" spans="5:87" x14ac:dyDescent="0.25">
      <c r="E280" s="174">
        <v>64</v>
      </c>
      <c r="F280" s="221">
        <f t="shared" si="405"/>
        <v>0.128</v>
      </c>
      <c r="G280" s="221">
        <f t="shared" ref="G280:G316" si="407">IF(PLOT_TYPE=1, E280/100*Iout2, min_I*EXP(Q280*rr/100))</f>
        <v>6.4000000000000001E-2</v>
      </c>
      <c r="H280" s="221">
        <f t="shared" ref="H280:H316" si="408">F280*Vout</f>
        <v>2.048</v>
      </c>
      <c r="I280" s="221">
        <f t="shared" ref="I280:I316" si="409">Vout2*G280</f>
        <v>1.024</v>
      </c>
      <c r="J280" s="551">
        <f t="shared" ref="J280:J316" si="410">VIN_max</f>
        <v>48</v>
      </c>
      <c r="K280" s="451">
        <f t="shared" ref="K280:K316" si="411">(S280+Vfwd1)*Nps</f>
        <v>19.584</v>
      </c>
      <c r="L280" s="451">
        <f t="shared" ref="L280:L316" si="412">(Vout+Vfwd1)*Nps+J280</f>
        <v>67.584000000000003</v>
      </c>
      <c r="M280" s="451"/>
      <c r="N280" s="221">
        <f t="shared" ref="N280:N316" si="413">(Vout+Vfwd1)*Nps/((Vout+Vfwd1)*Nps+J280)</f>
        <v>0.28977272727272724</v>
      </c>
      <c r="O280" s="176">
        <f t="shared" ref="O280:O311" si="414">N280*J280*Isw_max*0.5*Efficiency*Pout/(Pout+Pout2)</f>
        <v>6.259090909090907</v>
      </c>
      <c r="P280" s="176">
        <f t="shared" ref="P280:P316" si="415">N280*J280*Isw_max*0.5*Efficiency*(Pout2/Pout_total)</f>
        <v>3.129545454545454</v>
      </c>
      <c r="Q280" s="221">
        <f t="shared" ref="Q280:Q316" si="416">O280/Vout</f>
        <v>0.39119318181818169</v>
      </c>
      <c r="R280" s="221">
        <f t="shared" ref="R280:R316" si="417">O280/Vout2</f>
        <v>0.39119318181818169</v>
      </c>
      <c r="S280" s="221">
        <f t="shared" ref="S280:S316" si="418">MIN(Vout,O280/F280)</f>
        <v>16</v>
      </c>
      <c r="T280" s="221">
        <f t="shared" ref="T280:T316" si="419">MIN(2*(Vout*F280+Vout2*G280)/(Efficiency*J280*N280), Isw_max)</f>
        <v>0.49080610021786497</v>
      </c>
      <c r="U280" s="221">
        <f t="shared" ref="U280:U316" si="420">L*T280/J280*1000000</f>
        <v>0.30675381263616558</v>
      </c>
      <c r="V280" s="221">
        <f t="shared" ref="V280:V316" si="421">L*T280/K280*1000000</f>
        <v>0.75184757999060203</v>
      </c>
      <c r="W280" s="201">
        <f t="shared" ref="W280:W316" si="422">IF(1/((350000*L)*(1/J280+1/K280))&gt;Isw_min, 350, 0.001/((Isw_min*L)*(1/J280+1/K280)))</f>
        <v>350</v>
      </c>
      <c r="X280" s="451">
        <f t="shared" ref="X280:X316" si="423">MIN(1/(U280+V280)*1000, 350)</f>
        <v>350</v>
      </c>
      <c r="Z280" s="221">
        <f t="shared" ref="Z280:Z316" si="424">1/((W280*1000*L)*(1/J280+1/K280))</f>
        <v>1.3246753246753247</v>
      </c>
      <c r="AA280" s="177">
        <f t="shared" ref="AA280:AA316" si="425">L*Z280/K280*1000000</f>
        <v>2.029220779220779</v>
      </c>
      <c r="AB280" s="177">
        <f t="shared" ref="AB280:AB311" si="426">0.5*AA280*Z280*Nps*W280/1000*(Pout/(Pout+Pout2))</f>
        <v>0.37632821723730803</v>
      </c>
      <c r="AC280" s="177"/>
      <c r="AD280" s="177">
        <f t="shared" ref="AD280:AD316" si="427">L*Isw_min/K280*1000000</f>
        <v>0.4595588235294118</v>
      </c>
      <c r="AE280" s="555">
        <f t="shared" ref="AE280:AE311" si="428">MAX(10, F280/(0.5*AD280/1000000*Isw_min*Nps)/1000*Pout_total/Pout)</f>
        <v>2321.0666666666671</v>
      </c>
      <c r="AF280" s="538">
        <f t="shared" ref="AF280:AF316" si="429">0.5*AD280/1000000*Isw_min*Nps*W280*1000*(Pout/Pout_total)</f>
        <v>1.9301470588235291E-2</v>
      </c>
      <c r="AH280" s="177">
        <f t="shared" ref="AH280:AH316" si="430">SQRT((H280+I280)/(0.5*L*Fsw_DCM))</f>
        <v>0.76494630997401192</v>
      </c>
      <c r="AI280" s="177">
        <f t="shared" ref="AI280:AI311" si="431">MAX(IF(F280&gt;AB280,T280,AH280),Isw_min)</f>
        <v>0.76494630997401192</v>
      </c>
      <c r="AJ280" s="177">
        <f t="shared" ref="AJ280:AJ311" si="432">IF(F280&gt;AF280, (AI280-Isw_min)/1.08*0.8+1.2, AE280*0.2/350+1)</f>
        <v>1.5444046740548236</v>
      </c>
      <c r="AL280" s="555">
        <f t="shared" ref="AL280:AL316" si="433">F280*1000</f>
        <v>128</v>
      </c>
      <c r="AM280" s="469">
        <f t="shared" ref="AM280:AM316" si="434">IF(F280&gt;AF280, X280, AE280)</f>
        <v>350</v>
      </c>
      <c r="AO280">
        <f t="shared" ref="AO280:AO316" si="435">IF(H280&gt;O280, "",AL280)</f>
        <v>128</v>
      </c>
      <c r="AP280">
        <f t="shared" ref="AP280:AP316" si="436">IF(H280&gt;O280, "",AM280)</f>
        <v>350</v>
      </c>
      <c r="AR280" s="5">
        <f t="shared" si="406"/>
        <v>2.8571428571428572</v>
      </c>
      <c r="AS280" s="5">
        <f t="shared" si="385"/>
        <v>0.47809144373375745</v>
      </c>
      <c r="AT280" s="5">
        <f t="shared" si="386"/>
        <v>2.3790514134090999</v>
      </c>
      <c r="AU280" s="177">
        <f t="shared" si="387"/>
        <v>0.16733200530681511</v>
      </c>
      <c r="CI280" s="571">
        <f t="shared" ref="CI280:CI316" si="437">IF(ABS(F280-Ioutmax_Vinmax)&lt;Iout/200, AM280, -50)</f>
        <v>-50</v>
      </c>
    </row>
    <row r="281" spans="5:87" x14ac:dyDescent="0.25">
      <c r="E281" s="174">
        <v>65</v>
      </c>
      <c r="F281" s="221">
        <f t="shared" ref="F281:F312" si="438">IF(PLOT_TYPE=1, E281/100*Iout_max, min_I*EXP(O281*rr/100))</f>
        <v>0.13</v>
      </c>
      <c r="G281" s="221">
        <f t="shared" si="407"/>
        <v>6.5000000000000002E-2</v>
      </c>
      <c r="H281" s="221">
        <f t="shared" si="408"/>
        <v>2.08</v>
      </c>
      <c r="I281" s="221">
        <f t="shared" si="409"/>
        <v>1.04</v>
      </c>
      <c r="J281" s="551">
        <f t="shared" si="410"/>
        <v>48</v>
      </c>
      <c r="K281" s="451">
        <f t="shared" si="411"/>
        <v>19.584</v>
      </c>
      <c r="L281" s="451">
        <f t="shared" si="412"/>
        <v>67.584000000000003</v>
      </c>
      <c r="M281" s="451"/>
      <c r="N281" s="221">
        <f t="shared" si="413"/>
        <v>0.28977272727272724</v>
      </c>
      <c r="O281" s="176">
        <f t="shared" si="414"/>
        <v>6.259090909090907</v>
      </c>
      <c r="P281" s="176">
        <f t="shared" si="415"/>
        <v>3.129545454545454</v>
      </c>
      <c r="Q281" s="221">
        <f t="shared" si="416"/>
        <v>0.39119318181818169</v>
      </c>
      <c r="R281" s="221">
        <f t="shared" si="417"/>
        <v>0.39119318181818169</v>
      </c>
      <c r="S281" s="221">
        <f t="shared" si="418"/>
        <v>16</v>
      </c>
      <c r="T281" s="221">
        <f t="shared" si="419"/>
        <v>0.49847494553376909</v>
      </c>
      <c r="U281" s="221">
        <f t="shared" si="420"/>
        <v>0.31154684095860569</v>
      </c>
      <c r="V281" s="221">
        <f t="shared" si="421"/>
        <v>0.7635951984279552</v>
      </c>
      <c r="W281" s="201">
        <f t="shared" si="422"/>
        <v>350</v>
      </c>
      <c r="X281" s="451">
        <f t="shared" si="423"/>
        <v>350</v>
      </c>
      <c r="Z281" s="221">
        <f t="shared" si="424"/>
        <v>1.3246753246753247</v>
      </c>
      <c r="AA281" s="177">
        <f t="shared" si="425"/>
        <v>2.029220779220779</v>
      </c>
      <c r="AB281" s="177">
        <f t="shared" si="426"/>
        <v>0.37632821723730803</v>
      </c>
      <c r="AC281" s="177"/>
      <c r="AD281" s="177">
        <f t="shared" si="427"/>
        <v>0.4595588235294118</v>
      </c>
      <c r="AE281" s="555">
        <f t="shared" si="428"/>
        <v>2357.3333333333335</v>
      </c>
      <c r="AF281" s="538">
        <f t="shared" si="429"/>
        <v>1.9301470588235291E-2</v>
      </c>
      <c r="AH281" s="177">
        <f t="shared" si="430"/>
        <v>0.77089928932754526</v>
      </c>
      <c r="AI281" s="177">
        <f t="shared" si="431"/>
        <v>0.77089928932754526</v>
      </c>
      <c r="AJ281" s="177">
        <f t="shared" si="432"/>
        <v>1.5488142883907743</v>
      </c>
      <c r="AL281" s="555">
        <f t="shared" si="433"/>
        <v>130</v>
      </c>
      <c r="AM281" s="469">
        <f t="shared" si="434"/>
        <v>350</v>
      </c>
      <c r="AO281">
        <f t="shared" si="435"/>
        <v>130</v>
      </c>
      <c r="AP281">
        <f t="shared" si="436"/>
        <v>350</v>
      </c>
      <c r="AR281" s="5">
        <f t="shared" si="406"/>
        <v>2.8571428571428572</v>
      </c>
      <c r="AS281" s="5">
        <f t="shared" si="385"/>
        <v>0.48181205582971576</v>
      </c>
      <c r="AT281" s="5">
        <f t="shared" si="386"/>
        <v>2.3753308013131416</v>
      </c>
      <c r="AU281" s="177">
        <f t="shared" si="387"/>
        <v>0.1686342195404005</v>
      </c>
      <c r="CI281" s="571">
        <f t="shared" si="437"/>
        <v>-50</v>
      </c>
    </row>
    <row r="282" spans="5:87" x14ac:dyDescent="0.25">
      <c r="E282" s="174">
        <v>66</v>
      </c>
      <c r="F282" s="221">
        <f t="shared" si="438"/>
        <v>0.13200000000000001</v>
      </c>
      <c r="G282" s="221">
        <f t="shared" si="407"/>
        <v>6.6000000000000003E-2</v>
      </c>
      <c r="H282" s="221">
        <f t="shared" si="408"/>
        <v>2.1120000000000001</v>
      </c>
      <c r="I282" s="221">
        <f t="shared" si="409"/>
        <v>1.056</v>
      </c>
      <c r="J282" s="551">
        <f t="shared" si="410"/>
        <v>48</v>
      </c>
      <c r="K282" s="451">
        <f t="shared" si="411"/>
        <v>19.584</v>
      </c>
      <c r="L282" s="451">
        <f t="shared" si="412"/>
        <v>67.584000000000003</v>
      </c>
      <c r="M282" s="451"/>
      <c r="N282" s="221">
        <f t="shared" si="413"/>
        <v>0.28977272727272724</v>
      </c>
      <c r="O282" s="176">
        <f t="shared" si="414"/>
        <v>6.259090909090907</v>
      </c>
      <c r="P282" s="176">
        <f t="shared" si="415"/>
        <v>3.129545454545454</v>
      </c>
      <c r="Q282" s="221">
        <f t="shared" si="416"/>
        <v>0.39119318181818169</v>
      </c>
      <c r="R282" s="221">
        <f t="shared" si="417"/>
        <v>0.39119318181818169</v>
      </c>
      <c r="S282" s="221">
        <f t="shared" si="418"/>
        <v>16</v>
      </c>
      <c r="T282" s="221">
        <f t="shared" si="419"/>
        <v>0.5061437908496732</v>
      </c>
      <c r="U282" s="221">
        <f t="shared" si="420"/>
        <v>0.31633986928104574</v>
      </c>
      <c r="V282" s="221">
        <f t="shared" si="421"/>
        <v>0.77534281686530826</v>
      </c>
      <c r="W282" s="201">
        <f t="shared" si="422"/>
        <v>350</v>
      </c>
      <c r="X282" s="451">
        <f t="shared" si="423"/>
        <v>350</v>
      </c>
      <c r="Z282" s="221">
        <f t="shared" si="424"/>
        <v>1.3246753246753247</v>
      </c>
      <c r="AA282" s="177">
        <f t="shared" si="425"/>
        <v>2.029220779220779</v>
      </c>
      <c r="AB282" s="177">
        <f t="shared" si="426"/>
        <v>0.37632821723730803</v>
      </c>
      <c r="AC282" s="177"/>
      <c r="AD282" s="177">
        <f t="shared" si="427"/>
        <v>0.4595588235294118</v>
      </c>
      <c r="AE282" s="555">
        <f t="shared" si="428"/>
        <v>2393.6000000000004</v>
      </c>
      <c r="AF282" s="538">
        <f t="shared" si="429"/>
        <v>1.9301470588235291E-2</v>
      </c>
      <c r="AH282" s="177">
        <f t="shared" si="430"/>
        <v>0.77680664996417959</v>
      </c>
      <c r="AI282" s="177">
        <f t="shared" si="431"/>
        <v>0.77680664996417959</v>
      </c>
      <c r="AJ282" s="177">
        <f t="shared" si="432"/>
        <v>1.5531901110845774</v>
      </c>
      <c r="AL282" s="555">
        <f t="shared" si="433"/>
        <v>132</v>
      </c>
      <c r="AM282" s="469">
        <f t="shared" si="434"/>
        <v>350</v>
      </c>
      <c r="AO282">
        <f t="shared" si="435"/>
        <v>132</v>
      </c>
      <c r="AP282">
        <f t="shared" si="436"/>
        <v>350</v>
      </c>
      <c r="AR282" s="5">
        <f t="shared" si="406"/>
        <v>2.8571428571428572</v>
      </c>
      <c r="AS282" s="5">
        <f t="shared" si="385"/>
        <v>0.48550415622761223</v>
      </c>
      <c r="AT282" s="5">
        <f t="shared" si="386"/>
        <v>2.3716387009152449</v>
      </c>
      <c r="AU282" s="177">
        <f t="shared" si="387"/>
        <v>0.16992645467966427</v>
      </c>
      <c r="CI282" s="571">
        <f t="shared" si="437"/>
        <v>-50</v>
      </c>
    </row>
    <row r="283" spans="5:87" x14ac:dyDescent="0.25">
      <c r="E283" s="174">
        <v>67</v>
      </c>
      <c r="F283" s="221">
        <f t="shared" si="438"/>
        <v>0.13400000000000001</v>
      </c>
      <c r="G283" s="221">
        <f t="shared" si="407"/>
        <v>6.7000000000000004E-2</v>
      </c>
      <c r="H283" s="221">
        <f t="shared" si="408"/>
        <v>2.1440000000000001</v>
      </c>
      <c r="I283" s="221">
        <f t="shared" si="409"/>
        <v>1.0720000000000001</v>
      </c>
      <c r="J283" s="551">
        <f t="shared" si="410"/>
        <v>48</v>
      </c>
      <c r="K283" s="451">
        <f t="shared" si="411"/>
        <v>19.584</v>
      </c>
      <c r="L283" s="451">
        <f t="shared" si="412"/>
        <v>67.584000000000003</v>
      </c>
      <c r="M283" s="451"/>
      <c r="N283" s="221">
        <f t="shared" si="413"/>
        <v>0.28977272727272724</v>
      </c>
      <c r="O283" s="176">
        <f t="shared" si="414"/>
        <v>6.259090909090907</v>
      </c>
      <c r="P283" s="176">
        <f t="shared" si="415"/>
        <v>3.129545454545454</v>
      </c>
      <c r="Q283" s="221">
        <f t="shared" si="416"/>
        <v>0.39119318181818169</v>
      </c>
      <c r="R283" s="221">
        <f t="shared" si="417"/>
        <v>0.39119318181818169</v>
      </c>
      <c r="S283" s="221">
        <f t="shared" si="418"/>
        <v>16</v>
      </c>
      <c r="T283" s="221">
        <f t="shared" si="419"/>
        <v>0.51381263616557737</v>
      </c>
      <c r="U283" s="221">
        <f t="shared" si="420"/>
        <v>0.32113289760348585</v>
      </c>
      <c r="V283" s="221">
        <f t="shared" si="421"/>
        <v>0.78709043530266132</v>
      </c>
      <c r="W283" s="201">
        <f t="shared" si="422"/>
        <v>350</v>
      </c>
      <c r="X283" s="451">
        <f t="shared" si="423"/>
        <v>350</v>
      </c>
      <c r="Z283" s="221">
        <f t="shared" si="424"/>
        <v>1.3246753246753247</v>
      </c>
      <c r="AA283" s="177">
        <f t="shared" si="425"/>
        <v>2.029220779220779</v>
      </c>
      <c r="AB283" s="177">
        <f t="shared" si="426"/>
        <v>0.37632821723730803</v>
      </c>
      <c r="AC283" s="177"/>
      <c r="AD283" s="177">
        <f t="shared" si="427"/>
        <v>0.4595588235294118</v>
      </c>
      <c r="AE283" s="555">
        <f t="shared" si="428"/>
        <v>2429.8666666666672</v>
      </c>
      <c r="AF283" s="538">
        <f t="shared" si="429"/>
        <v>1.9301470588235291E-2</v>
      </c>
      <c r="AH283" s="177">
        <f t="shared" si="430"/>
        <v>0.78266942483492263</v>
      </c>
      <c r="AI283" s="177">
        <f t="shared" si="431"/>
        <v>0.78266942483492263</v>
      </c>
      <c r="AJ283" s="177">
        <f t="shared" si="432"/>
        <v>1.5575329072851278</v>
      </c>
      <c r="AL283" s="555">
        <f t="shared" si="433"/>
        <v>134</v>
      </c>
      <c r="AM283" s="469">
        <f t="shared" si="434"/>
        <v>350</v>
      </c>
      <c r="AO283">
        <f t="shared" si="435"/>
        <v>134</v>
      </c>
      <c r="AP283">
        <f t="shared" si="436"/>
        <v>350</v>
      </c>
      <c r="AR283" s="5">
        <f t="shared" si="406"/>
        <v>2.8571428571428572</v>
      </c>
      <c r="AS283" s="5">
        <f t="shared" si="385"/>
        <v>0.48916839052182665</v>
      </c>
      <c r="AT283" s="5">
        <f t="shared" si="386"/>
        <v>2.3679744666210305</v>
      </c>
      <c r="AU283" s="177">
        <f t="shared" si="387"/>
        <v>0.17120893668263931</v>
      </c>
      <c r="CI283" s="571">
        <f t="shared" si="437"/>
        <v>-50</v>
      </c>
    </row>
    <row r="284" spans="5:87" x14ac:dyDescent="0.25">
      <c r="E284" s="174">
        <v>68</v>
      </c>
      <c r="F284" s="221">
        <f t="shared" si="438"/>
        <v>0.13600000000000001</v>
      </c>
      <c r="G284" s="221">
        <f t="shared" si="407"/>
        <v>6.8000000000000005E-2</v>
      </c>
      <c r="H284" s="221">
        <f t="shared" si="408"/>
        <v>2.1760000000000002</v>
      </c>
      <c r="I284" s="221">
        <f t="shared" si="409"/>
        <v>1.0880000000000001</v>
      </c>
      <c r="J284" s="551">
        <f t="shared" si="410"/>
        <v>48</v>
      </c>
      <c r="K284" s="451">
        <f t="shared" si="411"/>
        <v>19.584</v>
      </c>
      <c r="L284" s="451">
        <f t="shared" si="412"/>
        <v>67.584000000000003</v>
      </c>
      <c r="M284" s="451"/>
      <c r="N284" s="221">
        <f t="shared" si="413"/>
        <v>0.28977272727272724</v>
      </c>
      <c r="O284" s="176">
        <f t="shared" si="414"/>
        <v>6.259090909090907</v>
      </c>
      <c r="P284" s="176">
        <f t="shared" si="415"/>
        <v>3.129545454545454</v>
      </c>
      <c r="Q284" s="221">
        <f t="shared" si="416"/>
        <v>0.39119318181818169</v>
      </c>
      <c r="R284" s="221">
        <f t="shared" si="417"/>
        <v>0.39119318181818169</v>
      </c>
      <c r="S284" s="221">
        <f t="shared" si="418"/>
        <v>16</v>
      </c>
      <c r="T284" s="221">
        <f t="shared" si="419"/>
        <v>0.52148148148148155</v>
      </c>
      <c r="U284" s="221">
        <f t="shared" si="420"/>
        <v>0.32592592592592601</v>
      </c>
      <c r="V284" s="221">
        <f t="shared" si="421"/>
        <v>0.79883805374001471</v>
      </c>
      <c r="W284" s="201">
        <f t="shared" si="422"/>
        <v>350</v>
      </c>
      <c r="X284" s="451">
        <f t="shared" si="423"/>
        <v>350</v>
      </c>
      <c r="Z284" s="221">
        <f t="shared" si="424"/>
        <v>1.3246753246753247</v>
      </c>
      <c r="AA284" s="177">
        <f t="shared" si="425"/>
        <v>2.029220779220779</v>
      </c>
      <c r="AB284" s="177">
        <f t="shared" si="426"/>
        <v>0.37632821723730803</v>
      </c>
      <c r="AC284" s="177"/>
      <c r="AD284" s="177">
        <f t="shared" si="427"/>
        <v>0.4595588235294118</v>
      </c>
      <c r="AE284" s="555">
        <f t="shared" si="428"/>
        <v>2466.1333333333337</v>
      </c>
      <c r="AF284" s="538">
        <f t="shared" si="429"/>
        <v>1.9301470588235291E-2</v>
      </c>
      <c r="AH284" s="177">
        <f t="shared" si="430"/>
        <v>0.78848860848732982</v>
      </c>
      <c r="AI284" s="177">
        <f t="shared" si="431"/>
        <v>0.78848860848732982</v>
      </c>
      <c r="AJ284" s="177">
        <f t="shared" si="432"/>
        <v>1.5618434136943184</v>
      </c>
      <c r="AL284" s="555">
        <f t="shared" si="433"/>
        <v>136</v>
      </c>
      <c r="AM284" s="469">
        <f t="shared" si="434"/>
        <v>350</v>
      </c>
      <c r="AO284">
        <f t="shared" si="435"/>
        <v>136</v>
      </c>
      <c r="AP284">
        <f t="shared" si="436"/>
        <v>350</v>
      </c>
      <c r="AR284" s="5">
        <f t="shared" si="406"/>
        <v>2.8571428571428572</v>
      </c>
      <c r="AS284" s="5">
        <f t="shared" si="385"/>
        <v>0.4928053803045811</v>
      </c>
      <c r="AT284" s="5">
        <f t="shared" si="386"/>
        <v>2.3643374768382763</v>
      </c>
      <c r="AU284" s="177">
        <f t="shared" si="387"/>
        <v>0.17248188310660337</v>
      </c>
      <c r="CI284" s="571">
        <f t="shared" si="437"/>
        <v>-50</v>
      </c>
    </row>
    <row r="285" spans="5:87" x14ac:dyDescent="0.25">
      <c r="E285" s="174">
        <v>69</v>
      </c>
      <c r="F285" s="221">
        <f t="shared" si="438"/>
        <v>0.13799999999999998</v>
      </c>
      <c r="G285" s="221">
        <f t="shared" si="407"/>
        <v>6.8999999999999992E-2</v>
      </c>
      <c r="H285" s="221">
        <f t="shared" si="408"/>
        <v>2.2079999999999997</v>
      </c>
      <c r="I285" s="221">
        <f t="shared" si="409"/>
        <v>1.1039999999999999</v>
      </c>
      <c r="J285" s="551">
        <f t="shared" si="410"/>
        <v>48</v>
      </c>
      <c r="K285" s="451">
        <f t="shared" si="411"/>
        <v>19.584</v>
      </c>
      <c r="L285" s="451">
        <f t="shared" si="412"/>
        <v>67.584000000000003</v>
      </c>
      <c r="M285" s="451"/>
      <c r="N285" s="221">
        <f t="shared" si="413"/>
        <v>0.28977272727272724</v>
      </c>
      <c r="O285" s="176">
        <f t="shared" si="414"/>
        <v>6.259090909090907</v>
      </c>
      <c r="P285" s="176">
        <f t="shared" si="415"/>
        <v>3.129545454545454</v>
      </c>
      <c r="Q285" s="221">
        <f t="shared" si="416"/>
        <v>0.39119318181818169</v>
      </c>
      <c r="R285" s="221">
        <f t="shared" si="417"/>
        <v>0.39119318181818169</v>
      </c>
      <c r="S285" s="221">
        <f t="shared" si="418"/>
        <v>16</v>
      </c>
      <c r="T285" s="221">
        <f t="shared" si="419"/>
        <v>0.5291503267973855</v>
      </c>
      <c r="U285" s="221">
        <f t="shared" si="420"/>
        <v>0.33071895424836595</v>
      </c>
      <c r="V285" s="221">
        <f t="shared" si="421"/>
        <v>0.81058567217736754</v>
      </c>
      <c r="W285" s="201">
        <f t="shared" si="422"/>
        <v>350</v>
      </c>
      <c r="X285" s="451">
        <f t="shared" si="423"/>
        <v>350</v>
      </c>
      <c r="Z285" s="221">
        <f t="shared" si="424"/>
        <v>1.3246753246753247</v>
      </c>
      <c r="AA285" s="177">
        <f t="shared" si="425"/>
        <v>2.029220779220779</v>
      </c>
      <c r="AB285" s="177">
        <f t="shared" si="426"/>
        <v>0.37632821723730803</v>
      </c>
      <c r="AC285" s="177"/>
      <c r="AD285" s="177">
        <f t="shared" si="427"/>
        <v>0.4595588235294118</v>
      </c>
      <c r="AE285" s="555">
        <f t="shared" si="428"/>
        <v>2502.4</v>
      </c>
      <c r="AF285" s="538">
        <f t="shared" si="429"/>
        <v>1.9301470588235291E-2</v>
      </c>
      <c r="AH285" s="177">
        <f t="shared" si="430"/>
        <v>0.79426515903515671</v>
      </c>
      <c r="AI285" s="177">
        <f t="shared" si="431"/>
        <v>0.79426515903515671</v>
      </c>
      <c r="AJ285" s="177">
        <f t="shared" si="432"/>
        <v>1.566122340026042</v>
      </c>
      <c r="AL285" s="555">
        <f t="shared" si="433"/>
        <v>137.99999999999997</v>
      </c>
      <c r="AM285" s="469">
        <f t="shared" si="434"/>
        <v>350</v>
      </c>
      <c r="AO285">
        <f t="shared" si="435"/>
        <v>137.99999999999997</v>
      </c>
      <c r="AP285">
        <f t="shared" si="436"/>
        <v>350</v>
      </c>
      <c r="AR285" s="5">
        <f t="shared" si="406"/>
        <v>2.8571428571428572</v>
      </c>
      <c r="AS285" s="5">
        <f t="shared" si="385"/>
        <v>0.49641572439697301</v>
      </c>
      <c r="AT285" s="5">
        <f t="shared" si="386"/>
        <v>2.3607271327458843</v>
      </c>
      <c r="AU285" s="177">
        <f t="shared" si="387"/>
        <v>0.17374550353894055</v>
      </c>
      <c r="CI285" s="571">
        <f t="shared" si="437"/>
        <v>-50</v>
      </c>
    </row>
    <row r="286" spans="5:87" x14ac:dyDescent="0.25">
      <c r="E286" s="174">
        <v>70</v>
      </c>
      <c r="F286" s="221">
        <f t="shared" si="438"/>
        <v>0.13999999999999999</v>
      </c>
      <c r="G286" s="221">
        <f t="shared" si="407"/>
        <v>6.9999999999999993E-2</v>
      </c>
      <c r="H286" s="221">
        <f t="shared" si="408"/>
        <v>2.2399999999999998</v>
      </c>
      <c r="I286" s="221">
        <f t="shared" si="409"/>
        <v>1.1199999999999999</v>
      </c>
      <c r="J286" s="551">
        <f t="shared" si="410"/>
        <v>48</v>
      </c>
      <c r="K286" s="451">
        <f t="shared" si="411"/>
        <v>19.584</v>
      </c>
      <c r="L286" s="451">
        <f t="shared" si="412"/>
        <v>67.584000000000003</v>
      </c>
      <c r="M286" s="451"/>
      <c r="N286" s="221">
        <f t="shared" si="413"/>
        <v>0.28977272727272724</v>
      </c>
      <c r="O286" s="176">
        <f t="shared" si="414"/>
        <v>6.259090909090907</v>
      </c>
      <c r="P286" s="176">
        <f t="shared" si="415"/>
        <v>3.129545454545454</v>
      </c>
      <c r="Q286" s="221">
        <f t="shared" si="416"/>
        <v>0.39119318181818169</v>
      </c>
      <c r="R286" s="221">
        <f t="shared" si="417"/>
        <v>0.39119318181818169</v>
      </c>
      <c r="S286" s="221">
        <f t="shared" si="418"/>
        <v>16</v>
      </c>
      <c r="T286" s="221">
        <f t="shared" si="419"/>
        <v>0.53681917211328967</v>
      </c>
      <c r="U286" s="221">
        <f t="shared" si="420"/>
        <v>0.33551198257080606</v>
      </c>
      <c r="V286" s="221">
        <f t="shared" si="421"/>
        <v>0.82233329061472071</v>
      </c>
      <c r="W286" s="201">
        <f t="shared" si="422"/>
        <v>350</v>
      </c>
      <c r="X286" s="451">
        <f t="shared" si="423"/>
        <v>350</v>
      </c>
      <c r="Z286" s="221">
        <f t="shared" si="424"/>
        <v>1.3246753246753247</v>
      </c>
      <c r="AA286" s="177">
        <f t="shared" si="425"/>
        <v>2.029220779220779</v>
      </c>
      <c r="AB286" s="177">
        <f t="shared" si="426"/>
        <v>0.37632821723730803</v>
      </c>
      <c r="AC286" s="177"/>
      <c r="AD286" s="177">
        <f t="shared" si="427"/>
        <v>0.4595588235294118</v>
      </c>
      <c r="AE286" s="555">
        <f t="shared" si="428"/>
        <v>2538.666666666667</v>
      </c>
      <c r="AF286" s="538">
        <f t="shared" si="429"/>
        <v>1.9301470588235291E-2</v>
      </c>
      <c r="AH286" s="177">
        <f t="shared" si="430"/>
        <v>0.79999999999999993</v>
      </c>
      <c r="AI286" s="177">
        <f t="shared" si="431"/>
        <v>0.79999999999999993</v>
      </c>
      <c r="AJ286" s="177">
        <f t="shared" si="432"/>
        <v>1.5703703703703702</v>
      </c>
      <c r="AL286" s="555">
        <f t="shared" si="433"/>
        <v>139.99999999999997</v>
      </c>
      <c r="AM286" s="469">
        <f t="shared" si="434"/>
        <v>350</v>
      </c>
      <c r="AO286">
        <f t="shared" si="435"/>
        <v>139.99999999999997</v>
      </c>
      <c r="AP286">
        <f t="shared" si="436"/>
        <v>350</v>
      </c>
      <c r="AR286" s="5">
        <f t="shared" si="406"/>
        <v>2.8571428571428572</v>
      </c>
      <c r="AS286" s="5">
        <f t="shared" si="385"/>
        <v>0.5</v>
      </c>
      <c r="AT286" s="5">
        <f t="shared" si="386"/>
        <v>2.3571428571428572</v>
      </c>
      <c r="AU286" s="177">
        <f t="shared" si="387"/>
        <v>0.17499999999999999</v>
      </c>
      <c r="CI286" s="571">
        <f t="shared" si="437"/>
        <v>-50</v>
      </c>
    </row>
    <row r="287" spans="5:87" x14ac:dyDescent="0.25">
      <c r="E287" s="174">
        <v>71</v>
      </c>
      <c r="F287" s="221">
        <f t="shared" si="438"/>
        <v>0.14199999999999999</v>
      </c>
      <c r="G287" s="221">
        <f t="shared" si="407"/>
        <v>7.0999999999999994E-2</v>
      </c>
      <c r="H287" s="221">
        <f t="shared" si="408"/>
        <v>2.2719999999999998</v>
      </c>
      <c r="I287" s="221">
        <f t="shared" si="409"/>
        <v>1.1359999999999999</v>
      </c>
      <c r="J287" s="551">
        <f t="shared" si="410"/>
        <v>48</v>
      </c>
      <c r="K287" s="451">
        <f t="shared" si="411"/>
        <v>19.584</v>
      </c>
      <c r="L287" s="451">
        <f t="shared" si="412"/>
        <v>67.584000000000003</v>
      </c>
      <c r="M287" s="451"/>
      <c r="N287" s="221">
        <f t="shared" si="413"/>
        <v>0.28977272727272724</v>
      </c>
      <c r="O287" s="176">
        <f t="shared" si="414"/>
        <v>6.259090909090907</v>
      </c>
      <c r="P287" s="176">
        <f t="shared" si="415"/>
        <v>3.129545454545454</v>
      </c>
      <c r="Q287" s="221">
        <f t="shared" si="416"/>
        <v>0.39119318181818169</v>
      </c>
      <c r="R287" s="221">
        <f t="shared" si="417"/>
        <v>0.39119318181818169</v>
      </c>
      <c r="S287" s="221">
        <f t="shared" si="418"/>
        <v>16</v>
      </c>
      <c r="T287" s="221">
        <f t="shared" si="419"/>
        <v>0.54448801742919384</v>
      </c>
      <c r="U287" s="221">
        <f t="shared" si="420"/>
        <v>0.34030501089324611</v>
      </c>
      <c r="V287" s="221">
        <f t="shared" si="421"/>
        <v>0.83408090905207388</v>
      </c>
      <c r="W287" s="201">
        <f t="shared" si="422"/>
        <v>350</v>
      </c>
      <c r="X287" s="451">
        <f t="shared" si="423"/>
        <v>350</v>
      </c>
      <c r="Z287" s="221">
        <f t="shared" si="424"/>
        <v>1.3246753246753247</v>
      </c>
      <c r="AA287" s="177">
        <f t="shared" si="425"/>
        <v>2.029220779220779</v>
      </c>
      <c r="AB287" s="177">
        <f t="shared" si="426"/>
        <v>0.37632821723730803</v>
      </c>
      <c r="AC287" s="177"/>
      <c r="AD287" s="177">
        <f t="shared" si="427"/>
        <v>0.4595588235294118</v>
      </c>
      <c r="AE287" s="555">
        <f t="shared" si="428"/>
        <v>2574.9333333333338</v>
      </c>
      <c r="AF287" s="538">
        <f t="shared" si="429"/>
        <v>1.9301470588235291E-2</v>
      </c>
      <c r="AH287" s="177">
        <f t="shared" si="430"/>
        <v>0.80569402203495155</v>
      </c>
      <c r="AI287" s="177">
        <f t="shared" si="431"/>
        <v>0.80569402203495155</v>
      </c>
      <c r="AJ287" s="177">
        <f t="shared" si="432"/>
        <v>1.5745881644703343</v>
      </c>
      <c r="AL287" s="555">
        <f t="shared" si="433"/>
        <v>142</v>
      </c>
      <c r="AM287" s="469">
        <f t="shared" si="434"/>
        <v>350</v>
      </c>
      <c r="AO287">
        <f t="shared" si="435"/>
        <v>142</v>
      </c>
      <c r="AP287">
        <f t="shared" si="436"/>
        <v>350</v>
      </c>
      <c r="AR287" s="5">
        <f t="shared" si="406"/>
        <v>2.8571428571428572</v>
      </c>
      <c r="AS287" s="5">
        <f t="shared" si="385"/>
        <v>0.50355876377184472</v>
      </c>
      <c r="AT287" s="5">
        <f t="shared" si="386"/>
        <v>2.3535840933710124</v>
      </c>
      <c r="AU287" s="177">
        <f t="shared" si="387"/>
        <v>0.17624556732014565</v>
      </c>
      <c r="CI287" s="571">
        <f t="shared" si="437"/>
        <v>-50</v>
      </c>
    </row>
    <row r="288" spans="5:87" x14ac:dyDescent="0.25">
      <c r="E288" s="174">
        <v>72</v>
      </c>
      <c r="F288" s="221">
        <f t="shared" si="438"/>
        <v>0.14399999999999999</v>
      </c>
      <c r="G288" s="221">
        <f t="shared" si="407"/>
        <v>7.1999999999999995E-2</v>
      </c>
      <c r="H288" s="221">
        <f t="shared" si="408"/>
        <v>2.3039999999999998</v>
      </c>
      <c r="I288" s="221">
        <f t="shared" si="409"/>
        <v>1.1519999999999999</v>
      </c>
      <c r="J288" s="551">
        <f t="shared" si="410"/>
        <v>48</v>
      </c>
      <c r="K288" s="451">
        <f t="shared" si="411"/>
        <v>19.584</v>
      </c>
      <c r="L288" s="451">
        <f t="shared" si="412"/>
        <v>67.584000000000003</v>
      </c>
      <c r="M288" s="451"/>
      <c r="N288" s="221">
        <f t="shared" si="413"/>
        <v>0.28977272727272724</v>
      </c>
      <c r="O288" s="176">
        <f t="shared" si="414"/>
        <v>6.259090909090907</v>
      </c>
      <c r="P288" s="176">
        <f t="shared" si="415"/>
        <v>3.129545454545454</v>
      </c>
      <c r="Q288" s="221">
        <f t="shared" si="416"/>
        <v>0.39119318181818169</v>
      </c>
      <c r="R288" s="221">
        <f t="shared" si="417"/>
        <v>0.39119318181818169</v>
      </c>
      <c r="S288" s="221">
        <f t="shared" si="418"/>
        <v>16</v>
      </c>
      <c r="T288" s="221">
        <f t="shared" si="419"/>
        <v>0.55215686274509801</v>
      </c>
      <c r="U288" s="221">
        <f t="shared" si="420"/>
        <v>0.34509803921568627</v>
      </c>
      <c r="V288" s="221">
        <f t="shared" si="421"/>
        <v>0.84582852748942727</v>
      </c>
      <c r="W288" s="201">
        <f t="shared" si="422"/>
        <v>350</v>
      </c>
      <c r="X288" s="451">
        <f t="shared" si="423"/>
        <v>350</v>
      </c>
      <c r="Z288" s="221">
        <f t="shared" si="424"/>
        <v>1.3246753246753247</v>
      </c>
      <c r="AA288" s="177">
        <f t="shared" si="425"/>
        <v>2.029220779220779</v>
      </c>
      <c r="AB288" s="177">
        <f t="shared" si="426"/>
        <v>0.37632821723730803</v>
      </c>
      <c r="AC288" s="177"/>
      <c r="AD288" s="177">
        <f t="shared" si="427"/>
        <v>0.4595588235294118</v>
      </c>
      <c r="AE288" s="555">
        <f t="shared" si="428"/>
        <v>2611.1999999999998</v>
      </c>
      <c r="AF288" s="538">
        <f t="shared" si="429"/>
        <v>1.9301470588235291E-2</v>
      </c>
      <c r="AH288" s="177">
        <f t="shared" si="430"/>
        <v>0.81134808453937579</v>
      </c>
      <c r="AI288" s="177">
        <f t="shared" si="431"/>
        <v>0.81134808453937579</v>
      </c>
      <c r="AJ288" s="177">
        <f t="shared" si="432"/>
        <v>1.5787763589180561</v>
      </c>
      <c r="AL288" s="555">
        <f t="shared" si="433"/>
        <v>144</v>
      </c>
      <c r="AM288" s="469">
        <f t="shared" si="434"/>
        <v>350</v>
      </c>
      <c r="AO288">
        <f t="shared" si="435"/>
        <v>144</v>
      </c>
      <c r="AP288">
        <f t="shared" si="436"/>
        <v>350</v>
      </c>
      <c r="AR288" s="5">
        <f t="shared" si="406"/>
        <v>2.8571428571428572</v>
      </c>
      <c r="AS288" s="5">
        <f t="shared" si="385"/>
        <v>0.50709255283710997</v>
      </c>
      <c r="AT288" s="5">
        <f t="shared" si="386"/>
        <v>2.3500503043057472</v>
      </c>
      <c r="AU288" s="177">
        <f t="shared" si="387"/>
        <v>0.17748239349298847</v>
      </c>
      <c r="CI288" s="571">
        <f t="shared" si="437"/>
        <v>-50</v>
      </c>
    </row>
    <row r="289" spans="5:87" x14ac:dyDescent="0.25">
      <c r="E289" s="174">
        <v>73</v>
      </c>
      <c r="F289" s="221">
        <f t="shared" si="438"/>
        <v>0.14599999999999999</v>
      </c>
      <c r="G289" s="221">
        <f t="shared" si="407"/>
        <v>7.2999999999999995E-2</v>
      </c>
      <c r="H289" s="221">
        <f t="shared" si="408"/>
        <v>2.3359999999999999</v>
      </c>
      <c r="I289" s="221">
        <f t="shared" si="409"/>
        <v>1.1679999999999999</v>
      </c>
      <c r="J289" s="551">
        <f t="shared" si="410"/>
        <v>48</v>
      </c>
      <c r="K289" s="451">
        <f t="shared" si="411"/>
        <v>19.584</v>
      </c>
      <c r="L289" s="451">
        <f t="shared" si="412"/>
        <v>67.584000000000003</v>
      </c>
      <c r="M289" s="451"/>
      <c r="N289" s="221">
        <f t="shared" si="413"/>
        <v>0.28977272727272724</v>
      </c>
      <c r="O289" s="176">
        <f t="shared" si="414"/>
        <v>6.259090909090907</v>
      </c>
      <c r="P289" s="176">
        <f t="shared" si="415"/>
        <v>3.129545454545454</v>
      </c>
      <c r="Q289" s="221">
        <f t="shared" si="416"/>
        <v>0.39119318181818169</v>
      </c>
      <c r="R289" s="221">
        <f t="shared" si="417"/>
        <v>0.39119318181818169</v>
      </c>
      <c r="S289" s="221">
        <f t="shared" si="418"/>
        <v>16</v>
      </c>
      <c r="T289" s="221">
        <f t="shared" si="419"/>
        <v>0.55982570806100218</v>
      </c>
      <c r="U289" s="221">
        <f t="shared" si="420"/>
        <v>0.34989106753812638</v>
      </c>
      <c r="V289" s="221">
        <f t="shared" si="421"/>
        <v>0.85757614592678033</v>
      </c>
      <c r="W289" s="201">
        <f t="shared" si="422"/>
        <v>350</v>
      </c>
      <c r="X289" s="451">
        <f t="shared" si="423"/>
        <v>350</v>
      </c>
      <c r="Z289" s="221">
        <f t="shared" si="424"/>
        <v>1.3246753246753247</v>
      </c>
      <c r="AA289" s="177">
        <f t="shared" si="425"/>
        <v>2.029220779220779</v>
      </c>
      <c r="AB289" s="177">
        <f t="shared" si="426"/>
        <v>0.37632821723730803</v>
      </c>
      <c r="AC289" s="177"/>
      <c r="AD289" s="177">
        <f t="shared" si="427"/>
        <v>0.4595588235294118</v>
      </c>
      <c r="AE289" s="555">
        <f t="shared" si="428"/>
        <v>2647.4666666666667</v>
      </c>
      <c r="AF289" s="538">
        <f t="shared" si="429"/>
        <v>1.9301470588235291E-2</v>
      </c>
      <c r="AH289" s="177">
        <f t="shared" si="430"/>
        <v>0.81696301717309783</v>
      </c>
      <c r="AI289" s="177">
        <f t="shared" si="431"/>
        <v>0.81696301717309783</v>
      </c>
      <c r="AJ289" s="177">
        <f t="shared" si="432"/>
        <v>1.5829355682763688</v>
      </c>
      <c r="AL289" s="555">
        <f t="shared" si="433"/>
        <v>146</v>
      </c>
      <c r="AM289" s="469">
        <f t="shared" si="434"/>
        <v>350</v>
      </c>
      <c r="AO289">
        <f t="shared" si="435"/>
        <v>146</v>
      </c>
      <c r="AP289">
        <f t="shared" si="436"/>
        <v>350</v>
      </c>
      <c r="AR289" s="5">
        <f t="shared" si="406"/>
        <v>2.8571428571428572</v>
      </c>
      <c r="AS289" s="5">
        <f t="shared" si="385"/>
        <v>0.5106018857331861</v>
      </c>
      <c r="AT289" s="5">
        <f t="shared" si="386"/>
        <v>2.346540971409671</v>
      </c>
      <c r="AU289" s="177">
        <f t="shared" si="387"/>
        <v>0.17871066000661512</v>
      </c>
      <c r="CI289" s="571">
        <f t="shared" si="437"/>
        <v>-50</v>
      </c>
    </row>
    <row r="290" spans="5:87" x14ac:dyDescent="0.25">
      <c r="E290" s="174">
        <v>74</v>
      </c>
      <c r="F290" s="221">
        <f t="shared" si="438"/>
        <v>0.14799999999999999</v>
      </c>
      <c r="G290" s="221">
        <f t="shared" si="407"/>
        <v>7.3999999999999996E-2</v>
      </c>
      <c r="H290" s="221">
        <f t="shared" si="408"/>
        <v>2.3679999999999999</v>
      </c>
      <c r="I290" s="221">
        <f t="shared" si="409"/>
        <v>1.1839999999999999</v>
      </c>
      <c r="J290" s="551">
        <f t="shared" si="410"/>
        <v>48</v>
      </c>
      <c r="K290" s="451">
        <f t="shared" si="411"/>
        <v>19.584</v>
      </c>
      <c r="L290" s="451">
        <f t="shared" si="412"/>
        <v>67.584000000000003</v>
      </c>
      <c r="M290" s="451"/>
      <c r="N290" s="221">
        <f t="shared" si="413"/>
        <v>0.28977272727272724</v>
      </c>
      <c r="O290" s="176">
        <f t="shared" si="414"/>
        <v>6.259090909090907</v>
      </c>
      <c r="P290" s="176">
        <f t="shared" si="415"/>
        <v>3.129545454545454</v>
      </c>
      <c r="Q290" s="221">
        <f t="shared" si="416"/>
        <v>0.39119318181818169</v>
      </c>
      <c r="R290" s="221">
        <f t="shared" si="417"/>
        <v>0.39119318181818169</v>
      </c>
      <c r="S290" s="221">
        <f t="shared" si="418"/>
        <v>16</v>
      </c>
      <c r="T290" s="221">
        <f t="shared" si="419"/>
        <v>0.56749455337690624</v>
      </c>
      <c r="U290" s="221">
        <f t="shared" si="420"/>
        <v>0.35468409586056637</v>
      </c>
      <c r="V290" s="221">
        <f t="shared" si="421"/>
        <v>0.86932376436413328</v>
      </c>
      <c r="W290" s="201">
        <f t="shared" si="422"/>
        <v>350</v>
      </c>
      <c r="X290" s="451">
        <f t="shared" si="423"/>
        <v>350</v>
      </c>
      <c r="Z290" s="221">
        <f t="shared" si="424"/>
        <v>1.3246753246753247</v>
      </c>
      <c r="AA290" s="177">
        <f t="shared" si="425"/>
        <v>2.029220779220779</v>
      </c>
      <c r="AB290" s="177">
        <f t="shared" si="426"/>
        <v>0.37632821723730803</v>
      </c>
      <c r="AC290" s="177"/>
      <c r="AD290" s="177">
        <f t="shared" si="427"/>
        <v>0.4595588235294118</v>
      </c>
      <c r="AE290" s="555">
        <f t="shared" si="428"/>
        <v>2683.7333333333336</v>
      </c>
      <c r="AF290" s="538">
        <f t="shared" si="429"/>
        <v>1.9301470588235291E-2</v>
      </c>
      <c r="AH290" s="177">
        <f t="shared" si="430"/>
        <v>0.82253962127755798</v>
      </c>
      <c r="AI290" s="177">
        <f t="shared" si="431"/>
        <v>0.82253962127755798</v>
      </c>
      <c r="AJ290" s="177">
        <f t="shared" si="432"/>
        <v>1.5870663861315244</v>
      </c>
      <c r="AL290" s="555">
        <f t="shared" si="433"/>
        <v>148</v>
      </c>
      <c r="AM290" s="469">
        <f t="shared" si="434"/>
        <v>350</v>
      </c>
      <c r="AO290">
        <f t="shared" si="435"/>
        <v>148</v>
      </c>
      <c r="AP290">
        <f t="shared" si="436"/>
        <v>350</v>
      </c>
      <c r="AR290" s="5">
        <f t="shared" si="406"/>
        <v>2.8571428571428572</v>
      </c>
      <c r="AS290" s="5">
        <f t="shared" si="385"/>
        <v>0.51408726329847365</v>
      </c>
      <c r="AT290" s="5">
        <f t="shared" si="386"/>
        <v>2.3430555938443836</v>
      </c>
      <c r="AU290" s="177">
        <f t="shared" si="387"/>
        <v>0.17993054215446577</v>
      </c>
      <c r="CI290" s="571">
        <f t="shared" si="437"/>
        <v>-50</v>
      </c>
    </row>
    <row r="291" spans="5:87" x14ac:dyDescent="0.25">
      <c r="E291" s="174">
        <v>75</v>
      </c>
      <c r="F291" s="221">
        <f t="shared" si="438"/>
        <v>0.15000000000000002</v>
      </c>
      <c r="G291" s="221">
        <f t="shared" si="407"/>
        <v>7.5000000000000011E-2</v>
      </c>
      <c r="H291" s="221">
        <f t="shared" si="408"/>
        <v>2.4000000000000004</v>
      </c>
      <c r="I291" s="221">
        <f t="shared" si="409"/>
        <v>1.2000000000000002</v>
      </c>
      <c r="J291" s="551">
        <f t="shared" si="410"/>
        <v>48</v>
      </c>
      <c r="K291" s="451">
        <f t="shared" si="411"/>
        <v>19.584</v>
      </c>
      <c r="L291" s="451">
        <f t="shared" si="412"/>
        <v>67.584000000000003</v>
      </c>
      <c r="M291" s="451"/>
      <c r="N291" s="221">
        <f t="shared" si="413"/>
        <v>0.28977272727272724</v>
      </c>
      <c r="O291" s="176">
        <f t="shared" si="414"/>
        <v>6.259090909090907</v>
      </c>
      <c r="P291" s="176">
        <f t="shared" si="415"/>
        <v>3.129545454545454</v>
      </c>
      <c r="Q291" s="221">
        <f t="shared" si="416"/>
        <v>0.39119318181818169</v>
      </c>
      <c r="R291" s="221">
        <f t="shared" si="417"/>
        <v>0.39119318181818169</v>
      </c>
      <c r="S291" s="221">
        <f t="shared" si="418"/>
        <v>16</v>
      </c>
      <c r="T291" s="221">
        <f t="shared" si="419"/>
        <v>0.57516339869281052</v>
      </c>
      <c r="U291" s="221">
        <f t="shared" si="420"/>
        <v>0.35947712418300654</v>
      </c>
      <c r="V291" s="221">
        <f t="shared" si="421"/>
        <v>0.88107138280148667</v>
      </c>
      <c r="W291" s="201">
        <f t="shared" si="422"/>
        <v>350</v>
      </c>
      <c r="X291" s="451">
        <f t="shared" si="423"/>
        <v>350</v>
      </c>
      <c r="Z291" s="221">
        <f t="shared" si="424"/>
        <v>1.3246753246753247</v>
      </c>
      <c r="AA291" s="177">
        <f t="shared" si="425"/>
        <v>2.029220779220779</v>
      </c>
      <c r="AB291" s="177">
        <f t="shared" si="426"/>
        <v>0.37632821723730803</v>
      </c>
      <c r="AC291" s="177"/>
      <c r="AD291" s="177">
        <f t="shared" si="427"/>
        <v>0.4595588235294118</v>
      </c>
      <c r="AE291" s="555">
        <f t="shared" si="428"/>
        <v>2720.0000000000009</v>
      </c>
      <c r="AF291" s="538">
        <f t="shared" si="429"/>
        <v>1.9301470588235291E-2</v>
      </c>
      <c r="AH291" s="177">
        <f t="shared" si="430"/>
        <v>0.82807867121082512</v>
      </c>
      <c r="AI291" s="177">
        <f t="shared" si="431"/>
        <v>0.82807867121082512</v>
      </c>
      <c r="AJ291" s="177">
        <f t="shared" si="432"/>
        <v>1.5911693860820928</v>
      </c>
      <c r="AL291" s="555">
        <f t="shared" si="433"/>
        <v>150.00000000000003</v>
      </c>
      <c r="AM291" s="469">
        <f t="shared" si="434"/>
        <v>350</v>
      </c>
      <c r="AO291">
        <f t="shared" si="435"/>
        <v>150.00000000000003</v>
      </c>
      <c r="AP291">
        <f t="shared" si="436"/>
        <v>350</v>
      </c>
      <c r="AR291" s="5">
        <f t="shared" si="406"/>
        <v>2.8571428571428572</v>
      </c>
      <c r="AS291" s="5">
        <f t="shared" si="385"/>
        <v>0.51754916950676566</v>
      </c>
      <c r="AT291" s="5">
        <f t="shared" si="386"/>
        <v>2.3395936876360914</v>
      </c>
      <c r="AU291" s="177">
        <f t="shared" si="387"/>
        <v>0.18114220932736796</v>
      </c>
      <c r="CI291" s="571">
        <f t="shared" si="437"/>
        <v>-50</v>
      </c>
    </row>
    <row r="292" spans="5:87" x14ac:dyDescent="0.25">
      <c r="E292" s="174">
        <v>76</v>
      </c>
      <c r="F292" s="221">
        <f t="shared" si="438"/>
        <v>0.15200000000000002</v>
      </c>
      <c r="G292" s="221">
        <f t="shared" si="407"/>
        <v>7.6000000000000012E-2</v>
      </c>
      <c r="H292" s="221">
        <f t="shared" si="408"/>
        <v>2.4320000000000004</v>
      </c>
      <c r="I292" s="221">
        <f t="shared" si="409"/>
        <v>1.2160000000000002</v>
      </c>
      <c r="J292" s="551">
        <f t="shared" si="410"/>
        <v>48</v>
      </c>
      <c r="K292" s="451">
        <f t="shared" si="411"/>
        <v>19.584</v>
      </c>
      <c r="L292" s="451">
        <f t="shared" si="412"/>
        <v>67.584000000000003</v>
      </c>
      <c r="M292" s="451"/>
      <c r="N292" s="221">
        <f t="shared" si="413"/>
        <v>0.28977272727272724</v>
      </c>
      <c r="O292" s="176">
        <f t="shared" si="414"/>
        <v>6.259090909090907</v>
      </c>
      <c r="P292" s="176">
        <f t="shared" si="415"/>
        <v>3.129545454545454</v>
      </c>
      <c r="Q292" s="221">
        <f t="shared" si="416"/>
        <v>0.39119318181818169</v>
      </c>
      <c r="R292" s="221">
        <f t="shared" si="417"/>
        <v>0.39119318181818169</v>
      </c>
      <c r="S292" s="221">
        <f t="shared" si="418"/>
        <v>16</v>
      </c>
      <c r="T292" s="221">
        <f t="shared" si="419"/>
        <v>0.58283224400871469</v>
      </c>
      <c r="U292" s="221">
        <f t="shared" si="420"/>
        <v>0.36427015250544675</v>
      </c>
      <c r="V292" s="221">
        <f t="shared" si="421"/>
        <v>0.89281900123883995</v>
      </c>
      <c r="W292" s="201">
        <f t="shared" si="422"/>
        <v>350</v>
      </c>
      <c r="X292" s="451">
        <f t="shared" si="423"/>
        <v>350</v>
      </c>
      <c r="Z292" s="221">
        <f t="shared" si="424"/>
        <v>1.3246753246753247</v>
      </c>
      <c r="AA292" s="177">
        <f t="shared" si="425"/>
        <v>2.029220779220779</v>
      </c>
      <c r="AB292" s="177">
        <f t="shared" si="426"/>
        <v>0.37632821723730803</v>
      </c>
      <c r="AC292" s="177"/>
      <c r="AD292" s="177">
        <f t="shared" si="427"/>
        <v>0.4595588235294118</v>
      </c>
      <c r="AE292" s="555">
        <f t="shared" si="428"/>
        <v>2756.2666666666678</v>
      </c>
      <c r="AF292" s="538">
        <f t="shared" si="429"/>
        <v>1.9301470588235291E-2</v>
      </c>
      <c r="AH292" s="177">
        <f t="shared" si="430"/>
        <v>0.83358091560276437</v>
      </c>
      <c r="AI292" s="177">
        <f t="shared" si="431"/>
        <v>0.83358091560276437</v>
      </c>
      <c r="AJ292" s="177">
        <f t="shared" si="432"/>
        <v>1.5952451226687143</v>
      </c>
      <c r="AL292" s="555">
        <f t="shared" si="433"/>
        <v>152.00000000000003</v>
      </c>
      <c r="AM292" s="469">
        <f t="shared" si="434"/>
        <v>350</v>
      </c>
      <c r="AO292">
        <f t="shared" si="435"/>
        <v>152.00000000000003</v>
      </c>
      <c r="AP292">
        <f t="shared" si="436"/>
        <v>350</v>
      </c>
      <c r="AR292" s="5">
        <f t="shared" si="406"/>
        <v>2.8571428571428572</v>
      </c>
      <c r="AS292" s="5">
        <f t="shared" si="385"/>
        <v>0.52098807225172772</v>
      </c>
      <c r="AT292" s="5">
        <f t="shared" si="386"/>
        <v>2.3361547848911295</v>
      </c>
      <c r="AU292" s="177">
        <f t="shared" si="387"/>
        <v>0.1823458252881047</v>
      </c>
      <c r="CI292" s="571">
        <f t="shared" si="437"/>
        <v>-50</v>
      </c>
    </row>
    <row r="293" spans="5:87" x14ac:dyDescent="0.25">
      <c r="E293" s="174">
        <v>77</v>
      </c>
      <c r="F293" s="221">
        <f t="shared" si="438"/>
        <v>0.15400000000000003</v>
      </c>
      <c r="G293" s="221">
        <f t="shared" si="407"/>
        <v>7.7000000000000013E-2</v>
      </c>
      <c r="H293" s="221">
        <f t="shared" si="408"/>
        <v>2.4640000000000004</v>
      </c>
      <c r="I293" s="221">
        <f t="shared" si="409"/>
        <v>1.2320000000000002</v>
      </c>
      <c r="J293" s="551">
        <f t="shared" si="410"/>
        <v>48</v>
      </c>
      <c r="K293" s="451">
        <f t="shared" si="411"/>
        <v>19.584</v>
      </c>
      <c r="L293" s="451">
        <f t="shared" si="412"/>
        <v>67.584000000000003</v>
      </c>
      <c r="M293" s="451"/>
      <c r="N293" s="221">
        <f t="shared" si="413"/>
        <v>0.28977272727272724</v>
      </c>
      <c r="O293" s="176">
        <f t="shared" si="414"/>
        <v>6.259090909090907</v>
      </c>
      <c r="P293" s="176">
        <f t="shared" si="415"/>
        <v>3.129545454545454</v>
      </c>
      <c r="Q293" s="221">
        <f t="shared" si="416"/>
        <v>0.39119318181818169</v>
      </c>
      <c r="R293" s="221">
        <f t="shared" si="417"/>
        <v>0.39119318181818169</v>
      </c>
      <c r="S293" s="221">
        <f t="shared" si="418"/>
        <v>16</v>
      </c>
      <c r="T293" s="221">
        <f t="shared" si="419"/>
        <v>0.59050108932461887</v>
      </c>
      <c r="U293" s="221">
        <f t="shared" si="420"/>
        <v>0.36906318082788681</v>
      </c>
      <c r="V293" s="221">
        <f t="shared" si="421"/>
        <v>0.90456661967619323</v>
      </c>
      <c r="W293" s="201">
        <f t="shared" si="422"/>
        <v>350</v>
      </c>
      <c r="X293" s="451">
        <f t="shared" si="423"/>
        <v>350</v>
      </c>
      <c r="Z293" s="221">
        <f t="shared" si="424"/>
        <v>1.3246753246753247</v>
      </c>
      <c r="AA293" s="177">
        <f t="shared" si="425"/>
        <v>2.029220779220779</v>
      </c>
      <c r="AB293" s="177">
        <f t="shared" si="426"/>
        <v>0.37632821723730803</v>
      </c>
      <c r="AC293" s="177"/>
      <c r="AD293" s="177">
        <f t="shared" si="427"/>
        <v>0.4595588235294118</v>
      </c>
      <c r="AE293" s="555">
        <f t="shared" si="428"/>
        <v>2792.5333333333347</v>
      </c>
      <c r="AF293" s="538">
        <f t="shared" si="429"/>
        <v>1.9301470588235291E-2</v>
      </c>
      <c r="AH293" s="177">
        <f t="shared" si="430"/>
        <v>0.83904707853612126</v>
      </c>
      <c r="AI293" s="177">
        <f t="shared" si="431"/>
        <v>0.83904707853612126</v>
      </c>
      <c r="AJ293" s="177">
        <f t="shared" si="432"/>
        <v>1.5992941322489787</v>
      </c>
      <c r="AL293" s="555">
        <f t="shared" si="433"/>
        <v>154.00000000000003</v>
      </c>
      <c r="AM293" s="469">
        <f t="shared" si="434"/>
        <v>350</v>
      </c>
      <c r="AO293">
        <f t="shared" si="435"/>
        <v>154.00000000000003</v>
      </c>
      <c r="AP293">
        <f t="shared" si="436"/>
        <v>350</v>
      </c>
      <c r="AR293" s="5">
        <f t="shared" si="406"/>
        <v>2.8571428571428572</v>
      </c>
      <c r="AS293" s="5">
        <f t="shared" si="385"/>
        <v>0.52440442408507582</v>
      </c>
      <c r="AT293" s="5">
        <f t="shared" si="386"/>
        <v>2.3327384330577816</v>
      </c>
      <c r="AU293" s="177">
        <f t="shared" si="387"/>
        <v>0.18354154842977652</v>
      </c>
      <c r="CI293" s="571">
        <f t="shared" si="437"/>
        <v>-50</v>
      </c>
    </row>
    <row r="294" spans="5:87" x14ac:dyDescent="0.25">
      <c r="E294" s="174">
        <v>78</v>
      </c>
      <c r="F294" s="221">
        <f t="shared" si="438"/>
        <v>0.15600000000000003</v>
      </c>
      <c r="G294" s="221">
        <f t="shared" si="407"/>
        <v>7.8000000000000014E-2</v>
      </c>
      <c r="H294" s="221">
        <f t="shared" si="408"/>
        <v>2.4960000000000004</v>
      </c>
      <c r="I294" s="221">
        <f t="shared" si="409"/>
        <v>1.2480000000000002</v>
      </c>
      <c r="J294" s="551">
        <f t="shared" si="410"/>
        <v>48</v>
      </c>
      <c r="K294" s="451">
        <f t="shared" si="411"/>
        <v>19.584</v>
      </c>
      <c r="L294" s="451">
        <f t="shared" si="412"/>
        <v>67.584000000000003</v>
      </c>
      <c r="M294" s="451"/>
      <c r="N294" s="221">
        <f t="shared" si="413"/>
        <v>0.28977272727272724</v>
      </c>
      <c r="O294" s="176">
        <f t="shared" si="414"/>
        <v>6.259090909090907</v>
      </c>
      <c r="P294" s="176">
        <f t="shared" si="415"/>
        <v>3.129545454545454</v>
      </c>
      <c r="Q294" s="221">
        <f t="shared" si="416"/>
        <v>0.39119318181818169</v>
      </c>
      <c r="R294" s="221">
        <f t="shared" si="417"/>
        <v>0.39119318181818169</v>
      </c>
      <c r="S294" s="221">
        <f t="shared" si="418"/>
        <v>16</v>
      </c>
      <c r="T294" s="221">
        <f t="shared" si="419"/>
        <v>0.59816993464052304</v>
      </c>
      <c r="U294" s="221">
        <f t="shared" si="420"/>
        <v>0.37385620915032691</v>
      </c>
      <c r="V294" s="221">
        <f t="shared" si="421"/>
        <v>0.9163142381135464</v>
      </c>
      <c r="W294" s="201">
        <f t="shared" si="422"/>
        <v>350</v>
      </c>
      <c r="X294" s="451">
        <f t="shared" si="423"/>
        <v>350</v>
      </c>
      <c r="Z294" s="221">
        <f t="shared" si="424"/>
        <v>1.3246753246753247</v>
      </c>
      <c r="AA294" s="177">
        <f t="shared" si="425"/>
        <v>2.029220779220779</v>
      </c>
      <c r="AB294" s="177">
        <f t="shared" si="426"/>
        <v>0.37632821723730803</v>
      </c>
      <c r="AC294" s="177"/>
      <c r="AD294" s="177">
        <f t="shared" si="427"/>
        <v>0.4595588235294118</v>
      </c>
      <c r="AE294" s="555">
        <f t="shared" si="428"/>
        <v>2828.8000000000011</v>
      </c>
      <c r="AF294" s="538">
        <f t="shared" si="429"/>
        <v>1.9301470588235291E-2</v>
      </c>
      <c r="AH294" s="177">
        <f t="shared" si="430"/>
        <v>0.84447786065879626</v>
      </c>
      <c r="AI294" s="177">
        <f t="shared" si="431"/>
        <v>0.84447786065879626</v>
      </c>
      <c r="AJ294" s="177">
        <f t="shared" si="432"/>
        <v>1.6033169338213307</v>
      </c>
      <c r="AL294" s="555">
        <f t="shared" si="433"/>
        <v>156.00000000000003</v>
      </c>
      <c r="AM294" s="469">
        <f t="shared" si="434"/>
        <v>350</v>
      </c>
      <c r="AO294">
        <f t="shared" si="435"/>
        <v>156.00000000000003</v>
      </c>
      <c r="AP294">
        <f t="shared" si="436"/>
        <v>350</v>
      </c>
      <c r="AR294" s="5">
        <f t="shared" si="406"/>
        <v>2.8571428571428572</v>
      </c>
      <c r="AS294" s="5">
        <f t="shared" si="385"/>
        <v>0.52779866291174771</v>
      </c>
      <c r="AT294" s="5">
        <f t="shared" si="386"/>
        <v>2.3293441942311093</v>
      </c>
      <c r="AU294" s="177">
        <f t="shared" si="387"/>
        <v>0.18472953201911169</v>
      </c>
      <c r="CI294" s="571">
        <f t="shared" si="437"/>
        <v>-50</v>
      </c>
    </row>
    <row r="295" spans="5:87" x14ac:dyDescent="0.25">
      <c r="E295" s="174">
        <v>79</v>
      </c>
      <c r="F295" s="221">
        <f t="shared" si="438"/>
        <v>0.15800000000000003</v>
      </c>
      <c r="G295" s="221">
        <f t="shared" si="407"/>
        <v>7.9000000000000015E-2</v>
      </c>
      <c r="H295" s="221">
        <f t="shared" si="408"/>
        <v>2.5280000000000005</v>
      </c>
      <c r="I295" s="221">
        <f t="shared" si="409"/>
        <v>1.2640000000000002</v>
      </c>
      <c r="J295" s="551">
        <f t="shared" si="410"/>
        <v>48</v>
      </c>
      <c r="K295" s="451">
        <f t="shared" si="411"/>
        <v>19.584</v>
      </c>
      <c r="L295" s="451">
        <f t="shared" si="412"/>
        <v>67.584000000000003</v>
      </c>
      <c r="M295" s="451"/>
      <c r="N295" s="221">
        <f t="shared" si="413"/>
        <v>0.28977272727272724</v>
      </c>
      <c r="O295" s="176">
        <f t="shared" si="414"/>
        <v>6.259090909090907</v>
      </c>
      <c r="P295" s="176">
        <f t="shared" si="415"/>
        <v>3.129545454545454</v>
      </c>
      <c r="Q295" s="221">
        <f t="shared" si="416"/>
        <v>0.39119318181818169</v>
      </c>
      <c r="R295" s="221">
        <f t="shared" si="417"/>
        <v>0.39119318181818169</v>
      </c>
      <c r="S295" s="221">
        <f t="shared" si="418"/>
        <v>16</v>
      </c>
      <c r="T295" s="221">
        <f t="shared" si="419"/>
        <v>0.60583877995642721</v>
      </c>
      <c r="U295" s="221">
        <f t="shared" si="420"/>
        <v>0.37864923747276708</v>
      </c>
      <c r="V295" s="221">
        <f t="shared" si="421"/>
        <v>0.92806185655089957</v>
      </c>
      <c r="W295" s="201">
        <f t="shared" si="422"/>
        <v>350</v>
      </c>
      <c r="X295" s="451">
        <f t="shared" si="423"/>
        <v>350</v>
      </c>
      <c r="Z295" s="221">
        <f t="shared" si="424"/>
        <v>1.3246753246753247</v>
      </c>
      <c r="AA295" s="177">
        <f t="shared" si="425"/>
        <v>2.029220779220779</v>
      </c>
      <c r="AB295" s="177">
        <f t="shared" si="426"/>
        <v>0.37632821723730803</v>
      </c>
      <c r="AC295" s="177"/>
      <c r="AD295" s="177">
        <f t="shared" si="427"/>
        <v>0.4595588235294118</v>
      </c>
      <c r="AE295" s="555">
        <f t="shared" si="428"/>
        <v>2865.0666666666675</v>
      </c>
      <c r="AF295" s="538">
        <f t="shared" si="429"/>
        <v>1.9301470588235291E-2</v>
      </c>
      <c r="AH295" s="177">
        <f t="shared" si="430"/>
        <v>0.84987394023214669</v>
      </c>
      <c r="AI295" s="177">
        <f t="shared" si="431"/>
        <v>0.84987394023214669</v>
      </c>
      <c r="AJ295" s="177">
        <f t="shared" si="432"/>
        <v>1.60731402980159</v>
      </c>
      <c r="AL295" s="555">
        <f t="shared" si="433"/>
        <v>158.00000000000003</v>
      </c>
      <c r="AM295" s="469">
        <f t="shared" si="434"/>
        <v>350</v>
      </c>
      <c r="AO295">
        <f t="shared" si="435"/>
        <v>158.00000000000003</v>
      </c>
      <c r="AP295">
        <f t="shared" si="436"/>
        <v>350</v>
      </c>
      <c r="AR295" s="5">
        <f t="shared" si="406"/>
        <v>2.8571428571428572</v>
      </c>
      <c r="AS295" s="5">
        <f t="shared" si="385"/>
        <v>0.53117121264509171</v>
      </c>
      <c r="AT295" s="5">
        <f t="shared" si="386"/>
        <v>2.3259716444977654</v>
      </c>
      <c r="AU295" s="177">
        <f t="shared" si="387"/>
        <v>0.18590992442578208</v>
      </c>
      <c r="CI295" s="571">
        <f t="shared" si="437"/>
        <v>-50</v>
      </c>
    </row>
    <row r="296" spans="5:87" x14ac:dyDescent="0.25">
      <c r="E296" s="174">
        <v>80</v>
      </c>
      <c r="F296" s="221">
        <f t="shared" si="438"/>
        <v>0.16000000000000003</v>
      </c>
      <c r="G296" s="221">
        <f t="shared" si="407"/>
        <v>8.0000000000000016E-2</v>
      </c>
      <c r="H296" s="221">
        <f t="shared" si="408"/>
        <v>2.5600000000000005</v>
      </c>
      <c r="I296" s="221">
        <f t="shared" si="409"/>
        <v>1.2800000000000002</v>
      </c>
      <c r="J296" s="551">
        <f t="shared" si="410"/>
        <v>48</v>
      </c>
      <c r="K296" s="451">
        <f t="shared" si="411"/>
        <v>19.584</v>
      </c>
      <c r="L296" s="451">
        <f t="shared" si="412"/>
        <v>67.584000000000003</v>
      </c>
      <c r="M296" s="451"/>
      <c r="N296" s="221">
        <f t="shared" si="413"/>
        <v>0.28977272727272724</v>
      </c>
      <c r="O296" s="176">
        <f t="shared" si="414"/>
        <v>6.259090909090907</v>
      </c>
      <c r="P296" s="176">
        <f t="shared" si="415"/>
        <v>3.129545454545454</v>
      </c>
      <c r="Q296" s="221">
        <f t="shared" si="416"/>
        <v>0.39119318181818169</v>
      </c>
      <c r="R296" s="221">
        <f t="shared" si="417"/>
        <v>0.39119318181818169</v>
      </c>
      <c r="S296" s="221">
        <f t="shared" si="418"/>
        <v>16</v>
      </c>
      <c r="T296" s="221">
        <f t="shared" si="419"/>
        <v>0.61350762527233127</v>
      </c>
      <c r="U296" s="221">
        <f t="shared" si="420"/>
        <v>0.38344226579520707</v>
      </c>
      <c r="V296" s="221">
        <f t="shared" si="421"/>
        <v>0.93980947498825262</v>
      </c>
      <c r="W296" s="201">
        <f t="shared" si="422"/>
        <v>350</v>
      </c>
      <c r="X296" s="451">
        <f t="shared" si="423"/>
        <v>350</v>
      </c>
      <c r="Z296" s="221">
        <f t="shared" si="424"/>
        <v>1.3246753246753247</v>
      </c>
      <c r="AA296" s="177">
        <f t="shared" si="425"/>
        <v>2.029220779220779</v>
      </c>
      <c r="AB296" s="177">
        <f t="shared" si="426"/>
        <v>0.37632821723730803</v>
      </c>
      <c r="AC296" s="177"/>
      <c r="AD296" s="177">
        <f t="shared" si="427"/>
        <v>0.4595588235294118</v>
      </c>
      <c r="AE296" s="555">
        <f t="shared" si="428"/>
        <v>2901.3333333333344</v>
      </c>
      <c r="AF296" s="538">
        <f t="shared" si="429"/>
        <v>1.9301470588235291E-2</v>
      </c>
      <c r="AH296" s="177">
        <f t="shared" si="430"/>
        <v>0.85523597411975805</v>
      </c>
      <c r="AI296" s="177">
        <f t="shared" si="431"/>
        <v>0.85523597411975805</v>
      </c>
      <c r="AJ296" s="177">
        <f t="shared" si="432"/>
        <v>1.6112859067553764</v>
      </c>
      <c r="AL296" s="555">
        <f t="shared" si="433"/>
        <v>160.00000000000003</v>
      </c>
      <c r="AM296" s="469">
        <f t="shared" si="434"/>
        <v>350</v>
      </c>
      <c r="AO296">
        <f t="shared" si="435"/>
        <v>160.00000000000003</v>
      </c>
      <c r="AP296">
        <f t="shared" si="436"/>
        <v>350</v>
      </c>
      <c r="AR296" s="5">
        <f t="shared" si="406"/>
        <v>2.8571428571428572</v>
      </c>
      <c r="AS296" s="5">
        <f t="shared" si="385"/>
        <v>0.53452248382484879</v>
      </c>
      <c r="AT296" s="5">
        <f t="shared" si="386"/>
        <v>2.3226203733180082</v>
      </c>
      <c r="AU296" s="177">
        <f t="shared" si="387"/>
        <v>0.18708286933869708</v>
      </c>
      <c r="CI296" s="571">
        <f t="shared" si="437"/>
        <v>-50</v>
      </c>
    </row>
    <row r="297" spans="5:87" x14ac:dyDescent="0.25">
      <c r="E297" s="174">
        <v>81</v>
      </c>
      <c r="F297" s="221">
        <f t="shared" si="438"/>
        <v>0.16200000000000003</v>
      </c>
      <c r="G297" s="221">
        <f t="shared" si="407"/>
        <v>8.1000000000000016E-2</v>
      </c>
      <c r="H297" s="221">
        <f t="shared" si="408"/>
        <v>2.5920000000000005</v>
      </c>
      <c r="I297" s="221">
        <f t="shared" si="409"/>
        <v>1.2960000000000003</v>
      </c>
      <c r="J297" s="551">
        <f t="shared" si="410"/>
        <v>48</v>
      </c>
      <c r="K297" s="451">
        <f t="shared" si="411"/>
        <v>19.584</v>
      </c>
      <c r="L297" s="451">
        <f t="shared" si="412"/>
        <v>67.584000000000003</v>
      </c>
      <c r="M297" s="451"/>
      <c r="N297" s="221">
        <f t="shared" si="413"/>
        <v>0.28977272727272724</v>
      </c>
      <c r="O297" s="176">
        <f t="shared" si="414"/>
        <v>6.259090909090907</v>
      </c>
      <c r="P297" s="176">
        <f t="shared" si="415"/>
        <v>3.129545454545454</v>
      </c>
      <c r="Q297" s="221">
        <f t="shared" si="416"/>
        <v>0.39119318181818169</v>
      </c>
      <c r="R297" s="221">
        <f t="shared" si="417"/>
        <v>0.39119318181818169</v>
      </c>
      <c r="S297" s="221">
        <f t="shared" si="418"/>
        <v>16</v>
      </c>
      <c r="T297" s="221">
        <f t="shared" si="419"/>
        <v>0.62117647058823544</v>
      </c>
      <c r="U297" s="221">
        <f t="shared" si="420"/>
        <v>0.38823529411764718</v>
      </c>
      <c r="V297" s="221">
        <f t="shared" si="421"/>
        <v>0.95155709342560579</v>
      </c>
      <c r="W297" s="201">
        <f t="shared" si="422"/>
        <v>350</v>
      </c>
      <c r="X297" s="451">
        <f t="shared" si="423"/>
        <v>350</v>
      </c>
      <c r="Z297" s="221">
        <f t="shared" si="424"/>
        <v>1.3246753246753247</v>
      </c>
      <c r="AA297" s="177">
        <f t="shared" si="425"/>
        <v>2.029220779220779</v>
      </c>
      <c r="AB297" s="177">
        <f t="shared" si="426"/>
        <v>0.37632821723730803</v>
      </c>
      <c r="AC297" s="177"/>
      <c r="AD297" s="177">
        <f t="shared" si="427"/>
        <v>0.4595588235294118</v>
      </c>
      <c r="AE297" s="555">
        <f t="shared" si="428"/>
        <v>2937.6000000000008</v>
      </c>
      <c r="AF297" s="538">
        <f t="shared" si="429"/>
        <v>1.9301470588235291E-2</v>
      </c>
      <c r="AH297" s="177">
        <f t="shared" si="430"/>
        <v>0.86056459872076352</v>
      </c>
      <c r="AI297" s="177">
        <f t="shared" si="431"/>
        <v>0.86056459872076352</v>
      </c>
      <c r="AJ297" s="177">
        <f t="shared" si="432"/>
        <v>1.6152330360894545</v>
      </c>
      <c r="AL297" s="555">
        <f t="shared" si="433"/>
        <v>162.00000000000003</v>
      </c>
      <c r="AM297" s="469">
        <f t="shared" si="434"/>
        <v>350</v>
      </c>
      <c r="AO297">
        <f t="shared" si="435"/>
        <v>162.00000000000003</v>
      </c>
      <c r="AP297">
        <f t="shared" si="436"/>
        <v>350</v>
      </c>
      <c r="AR297" s="5">
        <f t="shared" si="406"/>
        <v>2.8571428571428572</v>
      </c>
      <c r="AS297" s="5">
        <f t="shared" si="385"/>
        <v>0.53785287420047723</v>
      </c>
      <c r="AT297" s="5">
        <f t="shared" si="386"/>
        <v>2.3192899829423799</v>
      </c>
      <c r="AU297" s="177">
        <f t="shared" si="387"/>
        <v>0.18824850597016701</v>
      </c>
      <c r="CI297" s="571">
        <f t="shared" si="437"/>
        <v>-50</v>
      </c>
    </row>
    <row r="298" spans="5:87" x14ac:dyDescent="0.25">
      <c r="E298" s="174">
        <v>82</v>
      </c>
      <c r="F298" s="221">
        <f t="shared" si="438"/>
        <v>0.16400000000000001</v>
      </c>
      <c r="G298" s="221">
        <f t="shared" si="407"/>
        <v>8.2000000000000003E-2</v>
      </c>
      <c r="H298" s="221">
        <f t="shared" si="408"/>
        <v>2.6240000000000001</v>
      </c>
      <c r="I298" s="221">
        <f t="shared" si="409"/>
        <v>1.3120000000000001</v>
      </c>
      <c r="J298" s="551">
        <f t="shared" si="410"/>
        <v>48</v>
      </c>
      <c r="K298" s="451">
        <f t="shared" si="411"/>
        <v>19.584</v>
      </c>
      <c r="L298" s="451">
        <f t="shared" si="412"/>
        <v>67.584000000000003</v>
      </c>
      <c r="M298" s="451"/>
      <c r="N298" s="221">
        <f t="shared" si="413"/>
        <v>0.28977272727272724</v>
      </c>
      <c r="O298" s="176">
        <f t="shared" si="414"/>
        <v>6.259090909090907</v>
      </c>
      <c r="P298" s="176">
        <f t="shared" si="415"/>
        <v>3.129545454545454</v>
      </c>
      <c r="Q298" s="221">
        <f t="shared" si="416"/>
        <v>0.39119318181818169</v>
      </c>
      <c r="R298" s="221">
        <f t="shared" si="417"/>
        <v>0.39119318181818169</v>
      </c>
      <c r="S298" s="221">
        <f t="shared" si="418"/>
        <v>16</v>
      </c>
      <c r="T298" s="221">
        <f t="shared" si="419"/>
        <v>0.6288453159041395</v>
      </c>
      <c r="U298" s="221">
        <f t="shared" si="420"/>
        <v>0.39302832244008717</v>
      </c>
      <c r="V298" s="221">
        <f t="shared" si="421"/>
        <v>0.96330471186295885</v>
      </c>
      <c r="W298" s="201">
        <f t="shared" si="422"/>
        <v>350</v>
      </c>
      <c r="X298" s="451">
        <f t="shared" si="423"/>
        <v>350</v>
      </c>
      <c r="Z298" s="221">
        <f t="shared" si="424"/>
        <v>1.3246753246753247</v>
      </c>
      <c r="AA298" s="177">
        <f t="shared" si="425"/>
        <v>2.029220779220779</v>
      </c>
      <c r="AB298" s="177">
        <f t="shared" si="426"/>
        <v>0.37632821723730803</v>
      </c>
      <c r="AC298" s="177"/>
      <c r="AD298" s="177">
        <f t="shared" si="427"/>
        <v>0.4595588235294118</v>
      </c>
      <c r="AE298" s="555">
        <f t="shared" si="428"/>
        <v>2973.8666666666677</v>
      </c>
      <c r="AF298" s="538">
        <f t="shared" si="429"/>
        <v>1.9301470588235291E-2</v>
      </c>
      <c r="AH298" s="177">
        <f t="shared" si="430"/>
        <v>0.86586043085146558</v>
      </c>
      <c r="AI298" s="177">
        <f t="shared" si="431"/>
        <v>0.86586043085146558</v>
      </c>
      <c r="AJ298" s="177">
        <f t="shared" si="432"/>
        <v>1.6191558747047894</v>
      </c>
      <c r="AL298" s="555">
        <f t="shared" si="433"/>
        <v>164</v>
      </c>
      <c r="AM298" s="469">
        <f t="shared" si="434"/>
        <v>350</v>
      </c>
      <c r="AO298">
        <f t="shared" si="435"/>
        <v>164</v>
      </c>
      <c r="AP298">
        <f t="shared" si="436"/>
        <v>350</v>
      </c>
      <c r="AR298" s="5">
        <f t="shared" si="406"/>
        <v>2.8571428571428572</v>
      </c>
      <c r="AS298" s="5">
        <f t="shared" si="385"/>
        <v>0.541162769282166</v>
      </c>
      <c r="AT298" s="5">
        <f t="shared" si="386"/>
        <v>2.3159800878606913</v>
      </c>
      <c r="AU298" s="177">
        <f t="shared" si="387"/>
        <v>0.18940696924875811</v>
      </c>
      <c r="CI298" s="571">
        <f t="shared" si="437"/>
        <v>-50</v>
      </c>
    </row>
    <row r="299" spans="5:87" x14ac:dyDescent="0.25">
      <c r="E299" s="174">
        <v>83</v>
      </c>
      <c r="F299" s="221">
        <f t="shared" si="438"/>
        <v>0.16600000000000001</v>
      </c>
      <c r="G299" s="221">
        <f t="shared" si="407"/>
        <v>8.3000000000000004E-2</v>
      </c>
      <c r="H299" s="221">
        <f t="shared" si="408"/>
        <v>2.6560000000000001</v>
      </c>
      <c r="I299" s="221">
        <f t="shared" si="409"/>
        <v>1.3280000000000001</v>
      </c>
      <c r="J299" s="551">
        <f t="shared" si="410"/>
        <v>48</v>
      </c>
      <c r="K299" s="451">
        <f t="shared" si="411"/>
        <v>19.584</v>
      </c>
      <c r="L299" s="451">
        <f t="shared" si="412"/>
        <v>67.584000000000003</v>
      </c>
      <c r="M299" s="451"/>
      <c r="N299" s="221">
        <f t="shared" si="413"/>
        <v>0.28977272727272724</v>
      </c>
      <c r="O299" s="176">
        <f t="shared" si="414"/>
        <v>6.259090909090907</v>
      </c>
      <c r="P299" s="176">
        <f t="shared" si="415"/>
        <v>3.129545454545454</v>
      </c>
      <c r="Q299" s="221">
        <f t="shared" si="416"/>
        <v>0.39119318181818169</v>
      </c>
      <c r="R299" s="221">
        <f t="shared" si="417"/>
        <v>0.39119318181818169</v>
      </c>
      <c r="S299" s="221">
        <f t="shared" si="418"/>
        <v>16</v>
      </c>
      <c r="T299" s="221">
        <f t="shared" si="419"/>
        <v>0.63651416122004356</v>
      </c>
      <c r="U299" s="221">
        <f t="shared" si="420"/>
        <v>0.39782135076252723</v>
      </c>
      <c r="V299" s="221">
        <f t="shared" si="421"/>
        <v>0.97505233030031202</v>
      </c>
      <c r="W299" s="201">
        <f t="shared" si="422"/>
        <v>350</v>
      </c>
      <c r="X299" s="451">
        <f t="shared" si="423"/>
        <v>350</v>
      </c>
      <c r="Z299" s="221">
        <f t="shared" si="424"/>
        <v>1.3246753246753247</v>
      </c>
      <c r="AA299" s="177">
        <f t="shared" si="425"/>
        <v>2.029220779220779</v>
      </c>
      <c r="AB299" s="177">
        <f t="shared" si="426"/>
        <v>0.37632821723730803</v>
      </c>
      <c r="AC299" s="177"/>
      <c r="AD299" s="177">
        <f t="shared" si="427"/>
        <v>0.4595588235294118</v>
      </c>
      <c r="AE299" s="555">
        <f t="shared" si="428"/>
        <v>3010.1333333333337</v>
      </c>
      <c r="AF299" s="538">
        <f t="shared" si="429"/>
        <v>1.9301470588235291E-2</v>
      </c>
      <c r="AH299" s="177">
        <f t="shared" si="430"/>
        <v>0.87112406857872027</v>
      </c>
      <c r="AI299" s="177">
        <f t="shared" si="431"/>
        <v>0.87112406857872027</v>
      </c>
      <c r="AJ299" s="177">
        <f t="shared" si="432"/>
        <v>1.6230548656138668</v>
      </c>
      <c r="AL299" s="555">
        <f t="shared" si="433"/>
        <v>166</v>
      </c>
      <c r="AM299" s="469">
        <f t="shared" si="434"/>
        <v>350</v>
      </c>
      <c r="AO299">
        <f t="shared" si="435"/>
        <v>166</v>
      </c>
      <c r="AP299">
        <f t="shared" si="436"/>
        <v>350</v>
      </c>
      <c r="AR299" s="5">
        <f t="shared" si="406"/>
        <v>2.8571428571428572</v>
      </c>
      <c r="AS299" s="5">
        <f t="shared" si="385"/>
        <v>0.54445254286170019</v>
      </c>
      <c r="AT299" s="5">
        <f t="shared" si="386"/>
        <v>2.312690314281157</v>
      </c>
      <c r="AU299" s="177">
        <f t="shared" si="387"/>
        <v>0.19055839000159505</v>
      </c>
      <c r="CI299" s="571">
        <f t="shared" si="437"/>
        <v>-50</v>
      </c>
    </row>
    <row r="300" spans="5:87" x14ac:dyDescent="0.25">
      <c r="E300" s="174">
        <v>84</v>
      </c>
      <c r="F300" s="221">
        <f t="shared" si="438"/>
        <v>0.16800000000000001</v>
      </c>
      <c r="G300" s="221">
        <f t="shared" si="407"/>
        <v>8.4000000000000005E-2</v>
      </c>
      <c r="H300" s="221">
        <f t="shared" si="408"/>
        <v>2.6880000000000002</v>
      </c>
      <c r="I300" s="221">
        <f t="shared" si="409"/>
        <v>1.3440000000000001</v>
      </c>
      <c r="J300" s="551">
        <f t="shared" si="410"/>
        <v>48</v>
      </c>
      <c r="K300" s="451">
        <f t="shared" si="411"/>
        <v>19.584</v>
      </c>
      <c r="L300" s="451">
        <f t="shared" si="412"/>
        <v>67.584000000000003</v>
      </c>
      <c r="M300" s="451"/>
      <c r="N300" s="221">
        <f t="shared" si="413"/>
        <v>0.28977272727272724</v>
      </c>
      <c r="O300" s="176">
        <f t="shared" si="414"/>
        <v>6.259090909090907</v>
      </c>
      <c r="P300" s="176">
        <f t="shared" si="415"/>
        <v>3.129545454545454</v>
      </c>
      <c r="Q300" s="221">
        <f t="shared" si="416"/>
        <v>0.39119318181818169</v>
      </c>
      <c r="R300" s="221">
        <f t="shared" si="417"/>
        <v>0.39119318181818169</v>
      </c>
      <c r="S300" s="221">
        <f t="shared" si="418"/>
        <v>16</v>
      </c>
      <c r="T300" s="221">
        <f t="shared" si="419"/>
        <v>0.64418300653594773</v>
      </c>
      <c r="U300" s="221">
        <f t="shared" si="420"/>
        <v>0.40261437908496733</v>
      </c>
      <c r="V300" s="221">
        <f t="shared" si="421"/>
        <v>0.98679994873766519</v>
      </c>
      <c r="W300" s="201">
        <f t="shared" si="422"/>
        <v>350</v>
      </c>
      <c r="X300" s="451">
        <f t="shared" si="423"/>
        <v>350</v>
      </c>
      <c r="Z300" s="221">
        <f t="shared" si="424"/>
        <v>1.3246753246753247</v>
      </c>
      <c r="AA300" s="177">
        <f t="shared" si="425"/>
        <v>2.029220779220779</v>
      </c>
      <c r="AB300" s="177">
        <f t="shared" si="426"/>
        <v>0.37632821723730803</v>
      </c>
      <c r="AC300" s="177"/>
      <c r="AD300" s="177">
        <f t="shared" si="427"/>
        <v>0.4595588235294118</v>
      </c>
      <c r="AE300" s="555">
        <f t="shared" si="428"/>
        <v>3046.400000000001</v>
      </c>
      <c r="AF300" s="538">
        <f t="shared" si="429"/>
        <v>1.9301470588235291E-2</v>
      </c>
      <c r="AH300" s="177">
        <f t="shared" si="430"/>
        <v>0.87635609200826581</v>
      </c>
      <c r="AI300" s="177">
        <f t="shared" si="431"/>
        <v>0.87635609200826581</v>
      </c>
      <c r="AJ300" s="177">
        <f t="shared" si="432"/>
        <v>1.6269304385246413</v>
      </c>
      <c r="AL300" s="555">
        <f t="shared" si="433"/>
        <v>168</v>
      </c>
      <c r="AM300" s="469">
        <f t="shared" si="434"/>
        <v>350</v>
      </c>
      <c r="AO300">
        <f t="shared" si="435"/>
        <v>168</v>
      </c>
      <c r="AP300">
        <f t="shared" si="436"/>
        <v>350</v>
      </c>
      <c r="AR300" s="5">
        <f t="shared" si="406"/>
        <v>2.8571428571428572</v>
      </c>
      <c r="AS300" s="5">
        <f t="shared" si="385"/>
        <v>0.54772255750516619</v>
      </c>
      <c r="AT300" s="5">
        <f t="shared" si="386"/>
        <v>2.3094202996376909</v>
      </c>
      <c r="AU300" s="177">
        <f t="shared" si="387"/>
        <v>0.19170289512680816</v>
      </c>
      <c r="CI300" s="571">
        <f t="shared" si="437"/>
        <v>-50</v>
      </c>
    </row>
    <row r="301" spans="5:87" x14ac:dyDescent="0.25">
      <c r="E301" s="174">
        <v>85</v>
      </c>
      <c r="F301" s="221">
        <f t="shared" si="438"/>
        <v>0.17</v>
      </c>
      <c r="G301" s="221">
        <f t="shared" si="407"/>
        <v>8.5000000000000006E-2</v>
      </c>
      <c r="H301" s="221">
        <f t="shared" si="408"/>
        <v>2.72</v>
      </c>
      <c r="I301" s="221">
        <f t="shared" si="409"/>
        <v>1.36</v>
      </c>
      <c r="J301" s="551">
        <f t="shared" si="410"/>
        <v>48</v>
      </c>
      <c r="K301" s="451">
        <f t="shared" si="411"/>
        <v>19.584</v>
      </c>
      <c r="L301" s="451">
        <f t="shared" si="412"/>
        <v>67.584000000000003</v>
      </c>
      <c r="M301" s="451"/>
      <c r="N301" s="221">
        <f t="shared" si="413"/>
        <v>0.28977272727272724</v>
      </c>
      <c r="O301" s="176">
        <f t="shared" si="414"/>
        <v>6.259090909090907</v>
      </c>
      <c r="P301" s="176">
        <f t="shared" si="415"/>
        <v>3.129545454545454</v>
      </c>
      <c r="Q301" s="221">
        <f t="shared" si="416"/>
        <v>0.39119318181818169</v>
      </c>
      <c r="R301" s="221">
        <f t="shared" si="417"/>
        <v>0.39119318181818169</v>
      </c>
      <c r="S301" s="221">
        <f t="shared" si="418"/>
        <v>16</v>
      </c>
      <c r="T301" s="221">
        <f t="shared" si="419"/>
        <v>0.6518518518518519</v>
      </c>
      <c r="U301" s="221">
        <f t="shared" si="420"/>
        <v>0.40740740740740744</v>
      </c>
      <c r="V301" s="221">
        <f t="shared" si="421"/>
        <v>0.99854756717501836</v>
      </c>
      <c r="W301" s="201">
        <f t="shared" si="422"/>
        <v>350</v>
      </c>
      <c r="X301" s="451">
        <f t="shared" si="423"/>
        <v>350</v>
      </c>
      <c r="Z301" s="221">
        <f t="shared" si="424"/>
        <v>1.3246753246753247</v>
      </c>
      <c r="AA301" s="177">
        <f t="shared" si="425"/>
        <v>2.029220779220779</v>
      </c>
      <c r="AB301" s="177">
        <f t="shared" si="426"/>
        <v>0.37632821723730803</v>
      </c>
      <c r="AC301" s="177"/>
      <c r="AD301" s="177">
        <f t="shared" si="427"/>
        <v>0.4595588235294118</v>
      </c>
      <c r="AE301" s="555">
        <f t="shared" si="428"/>
        <v>3082.6666666666674</v>
      </c>
      <c r="AF301" s="538">
        <f t="shared" si="429"/>
        <v>1.9301470588235291E-2</v>
      </c>
      <c r="AH301" s="177">
        <f t="shared" si="430"/>
        <v>0.88155706403094358</v>
      </c>
      <c r="AI301" s="177">
        <f t="shared" si="431"/>
        <v>0.88155706403094358</v>
      </c>
      <c r="AJ301" s="177">
        <f t="shared" si="432"/>
        <v>1.6307830103932914</v>
      </c>
      <c r="AL301" s="555">
        <f t="shared" si="433"/>
        <v>170</v>
      </c>
      <c r="AM301" s="469">
        <f t="shared" si="434"/>
        <v>350</v>
      </c>
      <c r="AO301">
        <f t="shared" si="435"/>
        <v>170</v>
      </c>
      <c r="AP301">
        <f t="shared" si="436"/>
        <v>350</v>
      </c>
      <c r="AR301" s="5">
        <f t="shared" si="406"/>
        <v>2.8571428571428572</v>
      </c>
      <c r="AS301" s="5">
        <f t="shared" si="385"/>
        <v>0.55097316501933968</v>
      </c>
      <c r="AT301" s="5">
        <f t="shared" si="386"/>
        <v>2.3061696921235173</v>
      </c>
      <c r="AU301" s="177">
        <f t="shared" si="387"/>
        <v>0.19284060775676889</v>
      </c>
      <c r="CI301" s="571">
        <f t="shared" si="437"/>
        <v>-50</v>
      </c>
    </row>
    <row r="302" spans="5:87" x14ac:dyDescent="0.25">
      <c r="E302" s="174">
        <v>86</v>
      </c>
      <c r="F302" s="221">
        <f t="shared" si="438"/>
        <v>0.17200000000000001</v>
      </c>
      <c r="G302" s="221">
        <f t="shared" si="407"/>
        <v>8.6000000000000007E-2</v>
      </c>
      <c r="H302" s="221">
        <f t="shared" si="408"/>
        <v>2.7520000000000002</v>
      </c>
      <c r="I302" s="221">
        <f t="shared" si="409"/>
        <v>1.3760000000000001</v>
      </c>
      <c r="J302" s="551">
        <f t="shared" si="410"/>
        <v>48</v>
      </c>
      <c r="K302" s="451">
        <f t="shared" si="411"/>
        <v>19.584</v>
      </c>
      <c r="L302" s="451">
        <f t="shared" si="412"/>
        <v>67.584000000000003</v>
      </c>
      <c r="M302" s="451"/>
      <c r="N302" s="221">
        <f t="shared" si="413"/>
        <v>0.28977272727272724</v>
      </c>
      <c r="O302" s="176">
        <f t="shared" si="414"/>
        <v>6.259090909090907</v>
      </c>
      <c r="P302" s="176">
        <f t="shared" si="415"/>
        <v>3.129545454545454</v>
      </c>
      <c r="Q302" s="221">
        <f t="shared" si="416"/>
        <v>0.39119318181818169</v>
      </c>
      <c r="R302" s="221">
        <f t="shared" si="417"/>
        <v>0.39119318181818169</v>
      </c>
      <c r="S302" s="221">
        <f t="shared" si="418"/>
        <v>16</v>
      </c>
      <c r="T302" s="221">
        <f t="shared" si="419"/>
        <v>0.65952069716775608</v>
      </c>
      <c r="U302" s="221">
        <f t="shared" si="420"/>
        <v>0.41220043572984749</v>
      </c>
      <c r="V302" s="221">
        <f t="shared" si="421"/>
        <v>1.0102951856123714</v>
      </c>
      <c r="W302" s="201">
        <f t="shared" si="422"/>
        <v>350</v>
      </c>
      <c r="X302" s="451">
        <f t="shared" si="423"/>
        <v>350</v>
      </c>
      <c r="Z302" s="221">
        <f t="shared" si="424"/>
        <v>1.3246753246753247</v>
      </c>
      <c r="AA302" s="177">
        <f t="shared" si="425"/>
        <v>2.029220779220779</v>
      </c>
      <c r="AB302" s="177">
        <f t="shared" si="426"/>
        <v>0.37632821723730803</v>
      </c>
      <c r="AC302" s="177"/>
      <c r="AD302" s="177">
        <f t="shared" si="427"/>
        <v>0.4595588235294118</v>
      </c>
      <c r="AE302" s="555">
        <f t="shared" si="428"/>
        <v>3118.9333333333343</v>
      </c>
      <c r="AF302" s="538">
        <f t="shared" si="429"/>
        <v>1.9301470588235291E-2</v>
      </c>
      <c r="AH302" s="177">
        <f t="shared" si="430"/>
        <v>0.88672753102952329</v>
      </c>
      <c r="AI302" s="177">
        <f t="shared" si="431"/>
        <v>0.88672753102952329</v>
      </c>
      <c r="AJ302" s="177">
        <f t="shared" si="432"/>
        <v>1.6346129859477949</v>
      </c>
      <c r="AL302" s="555">
        <f t="shared" si="433"/>
        <v>172</v>
      </c>
      <c r="AM302" s="469">
        <f t="shared" si="434"/>
        <v>350</v>
      </c>
      <c r="AO302">
        <f t="shared" si="435"/>
        <v>172</v>
      </c>
      <c r="AP302">
        <f t="shared" si="436"/>
        <v>350</v>
      </c>
      <c r="AR302" s="5">
        <f t="shared" si="406"/>
        <v>2.8571428571428572</v>
      </c>
      <c r="AS302" s="5">
        <f t="shared" si="385"/>
        <v>0.55420470689345214</v>
      </c>
      <c r="AT302" s="5">
        <f t="shared" si="386"/>
        <v>2.3029381502494051</v>
      </c>
      <c r="AU302" s="177">
        <f t="shared" si="387"/>
        <v>0.19397164741270825</v>
      </c>
      <c r="CI302" s="571">
        <f t="shared" si="437"/>
        <v>-50</v>
      </c>
    </row>
    <row r="303" spans="5:87" x14ac:dyDescent="0.25">
      <c r="E303" s="174">
        <v>87</v>
      </c>
      <c r="F303" s="221">
        <f t="shared" si="438"/>
        <v>0.17400000000000002</v>
      </c>
      <c r="G303" s="221">
        <f t="shared" si="407"/>
        <v>8.7000000000000008E-2</v>
      </c>
      <c r="H303" s="221">
        <f t="shared" si="408"/>
        <v>2.7840000000000003</v>
      </c>
      <c r="I303" s="221">
        <f t="shared" si="409"/>
        <v>1.3920000000000001</v>
      </c>
      <c r="J303" s="551">
        <f t="shared" si="410"/>
        <v>48</v>
      </c>
      <c r="K303" s="451">
        <f t="shared" si="411"/>
        <v>19.584</v>
      </c>
      <c r="L303" s="451">
        <f t="shared" si="412"/>
        <v>67.584000000000003</v>
      </c>
      <c r="M303" s="451"/>
      <c r="N303" s="221">
        <f t="shared" si="413"/>
        <v>0.28977272727272724</v>
      </c>
      <c r="O303" s="176">
        <f t="shared" si="414"/>
        <v>6.259090909090907</v>
      </c>
      <c r="P303" s="176">
        <f t="shared" si="415"/>
        <v>3.129545454545454</v>
      </c>
      <c r="Q303" s="221">
        <f t="shared" si="416"/>
        <v>0.39119318181818169</v>
      </c>
      <c r="R303" s="221">
        <f t="shared" si="417"/>
        <v>0.39119318181818169</v>
      </c>
      <c r="S303" s="221">
        <f t="shared" si="418"/>
        <v>16</v>
      </c>
      <c r="T303" s="221">
        <f t="shared" si="419"/>
        <v>0.66718954248366014</v>
      </c>
      <c r="U303" s="221">
        <f t="shared" si="420"/>
        <v>0.4169934640522876</v>
      </c>
      <c r="V303" s="221">
        <f t="shared" si="421"/>
        <v>1.0220428040497247</v>
      </c>
      <c r="W303" s="201">
        <f t="shared" si="422"/>
        <v>350</v>
      </c>
      <c r="X303" s="451">
        <f t="shared" si="423"/>
        <v>350</v>
      </c>
      <c r="Z303" s="221">
        <f t="shared" si="424"/>
        <v>1.3246753246753247</v>
      </c>
      <c r="AA303" s="177">
        <f t="shared" si="425"/>
        <v>2.029220779220779</v>
      </c>
      <c r="AB303" s="177">
        <f t="shared" si="426"/>
        <v>0.37632821723730803</v>
      </c>
      <c r="AC303" s="177"/>
      <c r="AD303" s="177">
        <f t="shared" si="427"/>
        <v>0.4595588235294118</v>
      </c>
      <c r="AE303" s="555">
        <f t="shared" si="428"/>
        <v>3155.2000000000007</v>
      </c>
      <c r="AF303" s="538">
        <f t="shared" si="429"/>
        <v>1.9301470588235291E-2</v>
      </c>
      <c r="AH303" s="177">
        <f t="shared" si="430"/>
        <v>0.8918680235486478</v>
      </c>
      <c r="AI303" s="177">
        <f t="shared" si="431"/>
        <v>0.8918680235486478</v>
      </c>
      <c r="AJ303" s="177">
        <f t="shared" si="432"/>
        <v>1.6384207581841834</v>
      </c>
      <c r="AL303" s="555">
        <f t="shared" si="433"/>
        <v>174.00000000000003</v>
      </c>
      <c r="AM303" s="469">
        <f t="shared" si="434"/>
        <v>350</v>
      </c>
      <c r="AO303">
        <f t="shared" si="435"/>
        <v>174.00000000000003</v>
      </c>
      <c r="AP303">
        <f t="shared" si="436"/>
        <v>350</v>
      </c>
      <c r="AR303" s="5">
        <f t="shared" si="406"/>
        <v>2.8571428571428572</v>
      </c>
      <c r="AS303" s="5">
        <f t="shared" si="385"/>
        <v>0.55741751471790491</v>
      </c>
      <c r="AT303" s="5">
        <f t="shared" si="386"/>
        <v>2.2997253424249524</v>
      </c>
      <c r="AU303" s="177">
        <f t="shared" si="387"/>
        <v>0.1950961301512667</v>
      </c>
      <c r="CI303" s="571">
        <f t="shared" si="437"/>
        <v>-50</v>
      </c>
    </row>
    <row r="304" spans="5:87" x14ac:dyDescent="0.25">
      <c r="E304" s="174">
        <v>88</v>
      </c>
      <c r="F304" s="221">
        <f t="shared" si="438"/>
        <v>0.17600000000000002</v>
      </c>
      <c r="G304" s="221">
        <f t="shared" si="407"/>
        <v>8.8000000000000009E-2</v>
      </c>
      <c r="H304" s="221">
        <f t="shared" si="408"/>
        <v>2.8160000000000003</v>
      </c>
      <c r="I304" s="221">
        <f t="shared" si="409"/>
        <v>1.4080000000000001</v>
      </c>
      <c r="J304" s="551">
        <f t="shared" si="410"/>
        <v>48</v>
      </c>
      <c r="K304" s="451">
        <f t="shared" si="411"/>
        <v>19.584</v>
      </c>
      <c r="L304" s="451">
        <f t="shared" si="412"/>
        <v>67.584000000000003</v>
      </c>
      <c r="M304" s="451"/>
      <c r="N304" s="221">
        <f t="shared" si="413"/>
        <v>0.28977272727272724</v>
      </c>
      <c r="O304" s="176">
        <f t="shared" si="414"/>
        <v>6.259090909090907</v>
      </c>
      <c r="P304" s="176">
        <f t="shared" si="415"/>
        <v>3.129545454545454</v>
      </c>
      <c r="Q304" s="221">
        <f t="shared" si="416"/>
        <v>0.39119318181818169</v>
      </c>
      <c r="R304" s="221">
        <f t="shared" si="417"/>
        <v>0.39119318181818169</v>
      </c>
      <c r="S304" s="221">
        <f t="shared" si="418"/>
        <v>16</v>
      </c>
      <c r="T304" s="221">
        <f t="shared" si="419"/>
        <v>0.67485838779956431</v>
      </c>
      <c r="U304" s="221">
        <f t="shared" si="420"/>
        <v>0.42178649237472771</v>
      </c>
      <c r="V304" s="221">
        <f t="shared" si="421"/>
        <v>1.0337904224870778</v>
      </c>
      <c r="W304" s="201">
        <f t="shared" si="422"/>
        <v>350</v>
      </c>
      <c r="X304" s="451">
        <f t="shared" si="423"/>
        <v>350</v>
      </c>
      <c r="Z304" s="221">
        <f t="shared" si="424"/>
        <v>1.3246753246753247</v>
      </c>
      <c r="AA304" s="177">
        <f t="shared" si="425"/>
        <v>2.029220779220779</v>
      </c>
      <c r="AB304" s="177">
        <f t="shared" si="426"/>
        <v>0.37632821723730803</v>
      </c>
      <c r="AC304" s="177"/>
      <c r="AD304" s="177">
        <f t="shared" si="427"/>
        <v>0.4595588235294118</v>
      </c>
      <c r="AE304" s="555">
        <f t="shared" si="428"/>
        <v>3191.4666666666681</v>
      </c>
      <c r="AF304" s="538">
        <f t="shared" si="429"/>
        <v>1.9301470588235291E-2</v>
      </c>
      <c r="AH304" s="177">
        <f t="shared" si="430"/>
        <v>0.89697905693022095</v>
      </c>
      <c r="AI304" s="177">
        <f t="shared" si="431"/>
        <v>0.89697905693022095</v>
      </c>
      <c r="AJ304" s="177">
        <f t="shared" si="432"/>
        <v>1.6422067088372008</v>
      </c>
      <c r="AL304" s="555">
        <f t="shared" si="433"/>
        <v>176.00000000000003</v>
      </c>
      <c r="AM304" s="469">
        <f t="shared" si="434"/>
        <v>350</v>
      </c>
      <c r="AO304">
        <f t="shared" si="435"/>
        <v>176.00000000000003</v>
      </c>
      <c r="AP304">
        <f t="shared" si="436"/>
        <v>350</v>
      </c>
      <c r="AR304" s="5">
        <f t="shared" si="406"/>
        <v>2.8571428571428572</v>
      </c>
      <c r="AS304" s="5">
        <f t="shared" si="385"/>
        <v>0.56061191058138804</v>
      </c>
      <c r="AT304" s="5">
        <f t="shared" si="386"/>
        <v>2.2965309465614689</v>
      </c>
      <c r="AU304" s="177">
        <f t="shared" si="387"/>
        <v>0.19621416870348582</v>
      </c>
      <c r="CI304" s="571">
        <f t="shared" si="437"/>
        <v>-50</v>
      </c>
    </row>
    <row r="305" spans="4:87" x14ac:dyDescent="0.25">
      <c r="E305" s="174">
        <v>89</v>
      </c>
      <c r="F305" s="221">
        <f t="shared" si="438"/>
        <v>0.17800000000000002</v>
      </c>
      <c r="G305" s="221">
        <f t="shared" si="407"/>
        <v>8.900000000000001E-2</v>
      </c>
      <c r="H305" s="221">
        <f t="shared" si="408"/>
        <v>2.8480000000000003</v>
      </c>
      <c r="I305" s="221">
        <f t="shared" si="409"/>
        <v>1.4240000000000002</v>
      </c>
      <c r="J305" s="551">
        <f t="shared" si="410"/>
        <v>48</v>
      </c>
      <c r="K305" s="451">
        <f t="shared" si="411"/>
        <v>19.584</v>
      </c>
      <c r="L305" s="451">
        <f t="shared" si="412"/>
        <v>67.584000000000003</v>
      </c>
      <c r="M305" s="451"/>
      <c r="N305" s="221">
        <f t="shared" si="413"/>
        <v>0.28977272727272724</v>
      </c>
      <c r="O305" s="176">
        <f t="shared" si="414"/>
        <v>6.259090909090907</v>
      </c>
      <c r="P305" s="176">
        <f t="shared" si="415"/>
        <v>3.129545454545454</v>
      </c>
      <c r="Q305" s="221">
        <f t="shared" si="416"/>
        <v>0.39119318181818169</v>
      </c>
      <c r="R305" s="221">
        <f t="shared" si="417"/>
        <v>0.39119318181818169</v>
      </c>
      <c r="S305" s="221">
        <f t="shared" si="418"/>
        <v>16</v>
      </c>
      <c r="T305" s="221">
        <f t="shared" si="419"/>
        <v>0.68252723311546848</v>
      </c>
      <c r="U305" s="221">
        <f t="shared" si="420"/>
        <v>0.42657952069716776</v>
      </c>
      <c r="V305" s="221">
        <f t="shared" si="421"/>
        <v>1.0455380409244308</v>
      </c>
      <c r="W305" s="201">
        <f t="shared" si="422"/>
        <v>350</v>
      </c>
      <c r="X305" s="451">
        <f t="shared" si="423"/>
        <v>350</v>
      </c>
      <c r="Z305" s="221">
        <f t="shared" si="424"/>
        <v>1.3246753246753247</v>
      </c>
      <c r="AA305" s="177">
        <f t="shared" si="425"/>
        <v>2.029220779220779</v>
      </c>
      <c r="AB305" s="177">
        <f t="shared" si="426"/>
        <v>0.37632821723730803</v>
      </c>
      <c r="AC305" s="177"/>
      <c r="AD305" s="177">
        <f t="shared" si="427"/>
        <v>0.4595588235294118</v>
      </c>
      <c r="AE305" s="555">
        <f t="shared" si="428"/>
        <v>3227.733333333334</v>
      </c>
      <c r="AF305" s="538">
        <f t="shared" si="429"/>
        <v>1.9301470588235291E-2</v>
      </c>
      <c r="AH305" s="177">
        <f t="shared" si="430"/>
        <v>0.90206113191639381</v>
      </c>
      <c r="AI305" s="177">
        <f t="shared" si="431"/>
        <v>0.90206113191639381</v>
      </c>
      <c r="AJ305" s="177">
        <f t="shared" si="432"/>
        <v>1.6459712088269582</v>
      </c>
      <c r="AL305" s="555">
        <f t="shared" si="433"/>
        <v>178.00000000000003</v>
      </c>
      <c r="AM305" s="469">
        <f t="shared" si="434"/>
        <v>350</v>
      </c>
      <c r="AO305">
        <f t="shared" si="435"/>
        <v>178.00000000000003</v>
      </c>
      <c r="AP305">
        <f t="shared" si="436"/>
        <v>350</v>
      </c>
      <c r="AR305" s="5">
        <f t="shared" si="406"/>
        <v>2.8571428571428572</v>
      </c>
      <c r="AS305" s="5">
        <f t="shared" si="385"/>
        <v>0.56378820744774616</v>
      </c>
      <c r="AT305" s="5">
        <f t="shared" si="386"/>
        <v>2.2933546496951109</v>
      </c>
      <c r="AU305" s="177">
        <f t="shared" si="387"/>
        <v>0.19732587260671114</v>
      </c>
      <c r="CI305" s="571">
        <f t="shared" si="437"/>
        <v>-50</v>
      </c>
    </row>
    <row r="306" spans="4:87" x14ac:dyDescent="0.25">
      <c r="E306" s="174">
        <v>90</v>
      </c>
      <c r="F306" s="221">
        <f t="shared" si="438"/>
        <v>0.18000000000000002</v>
      </c>
      <c r="G306" s="221">
        <f t="shared" si="407"/>
        <v>9.0000000000000011E-2</v>
      </c>
      <c r="H306" s="221">
        <f t="shared" si="408"/>
        <v>2.8800000000000003</v>
      </c>
      <c r="I306" s="221">
        <f t="shared" si="409"/>
        <v>1.4400000000000002</v>
      </c>
      <c r="J306" s="551">
        <f t="shared" si="410"/>
        <v>48</v>
      </c>
      <c r="K306" s="451">
        <f t="shared" si="411"/>
        <v>19.584</v>
      </c>
      <c r="L306" s="451">
        <f t="shared" si="412"/>
        <v>67.584000000000003</v>
      </c>
      <c r="M306" s="451"/>
      <c r="N306" s="221">
        <f t="shared" si="413"/>
        <v>0.28977272727272724</v>
      </c>
      <c r="O306" s="176">
        <f t="shared" si="414"/>
        <v>6.259090909090907</v>
      </c>
      <c r="P306" s="176">
        <f t="shared" si="415"/>
        <v>3.129545454545454</v>
      </c>
      <c r="Q306" s="221">
        <f t="shared" si="416"/>
        <v>0.39119318181818169</v>
      </c>
      <c r="R306" s="221">
        <f t="shared" si="417"/>
        <v>0.39119318181818169</v>
      </c>
      <c r="S306" s="221">
        <f t="shared" si="418"/>
        <v>16</v>
      </c>
      <c r="T306" s="221">
        <f t="shared" si="419"/>
        <v>0.69019607843137265</v>
      </c>
      <c r="U306" s="221">
        <f t="shared" si="420"/>
        <v>0.43137254901960786</v>
      </c>
      <c r="V306" s="221">
        <f t="shared" si="421"/>
        <v>1.0572856593617841</v>
      </c>
      <c r="W306" s="201">
        <f t="shared" si="422"/>
        <v>350</v>
      </c>
      <c r="X306" s="451">
        <f t="shared" si="423"/>
        <v>350</v>
      </c>
      <c r="Z306" s="221">
        <f t="shared" si="424"/>
        <v>1.3246753246753247</v>
      </c>
      <c r="AA306" s="177">
        <f t="shared" si="425"/>
        <v>2.029220779220779</v>
      </c>
      <c r="AB306" s="177">
        <f t="shared" si="426"/>
        <v>0.37632821723730803</v>
      </c>
      <c r="AC306" s="177"/>
      <c r="AD306" s="177">
        <f t="shared" si="427"/>
        <v>0.4595588235294118</v>
      </c>
      <c r="AE306" s="555">
        <f t="shared" si="428"/>
        <v>3264.0000000000009</v>
      </c>
      <c r="AF306" s="538">
        <f t="shared" si="429"/>
        <v>1.9301470588235291E-2</v>
      </c>
      <c r="AH306" s="177">
        <f t="shared" si="430"/>
        <v>0.90711473522214536</v>
      </c>
      <c r="AI306" s="177">
        <f t="shared" si="431"/>
        <v>0.90711473522214536</v>
      </c>
      <c r="AJ306" s="177">
        <f t="shared" si="432"/>
        <v>1.6497146186830705</v>
      </c>
      <c r="AL306" s="555">
        <f t="shared" si="433"/>
        <v>180.00000000000003</v>
      </c>
      <c r="AM306" s="469">
        <f t="shared" si="434"/>
        <v>350</v>
      </c>
      <c r="AO306">
        <f t="shared" si="435"/>
        <v>180.00000000000003</v>
      </c>
      <c r="AP306">
        <f t="shared" si="436"/>
        <v>350</v>
      </c>
      <c r="AR306" s="5">
        <f t="shared" si="406"/>
        <v>2.8571428571428572</v>
      </c>
      <c r="AS306" s="5">
        <f t="shared" si="385"/>
        <v>0.56694670951384085</v>
      </c>
      <c r="AT306" s="5">
        <f t="shared" si="386"/>
        <v>2.2901961476290165</v>
      </c>
      <c r="AU306" s="177">
        <f t="shared" si="387"/>
        <v>0.1984313483298443</v>
      </c>
      <c r="CI306" s="571">
        <f t="shared" si="437"/>
        <v>-50</v>
      </c>
    </row>
    <row r="307" spans="4:87" x14ac:dyDescent="0.25">
      <c r="E307" s="174">
        <v>91</v>
      </c>
      <c r="F307" s="221">
        <f t="shared" si="438"/>
        <v>0.18200000000000002</v>
      </c>
      <c r="G307" s="221">
        <f t="shared" si="407"/>
        <v>9.1000000000000011E-2</v>
      </c>
      <c r="H307" s="221">
        <f t="shared" si="408"/>
        <v>2.9120000000000004</v>
      </c>
      <c r="I307" s="221">
        <f t="shared" si="409"/>
        <v>1.4560000000000002</v>
      </c>
      <c r="J307" s="551">
        <f t="shared" si="410"/>
        <v>48</v>
      </c>
      <c r="K307" s="451">
        <f t="shared" si="411"/>
        <v>19.584</v>
      </c>
      <c r="L307" s="451">
        <f t="shared" si="412"/>
        <v>67.584000000000003</v>
      </c>
      <c r="M307" s="451"/>
      <c r="N307" s="221">
        <f t="shared" si="413"/>
        <v>0.28977272727272724</v>
      </c>
      <c r="O307" s="176">
        <f t="shared" si="414"/>
        <v>6.259090909090907</v>
      </c>
      <c r="P307" s="176">
        <f t="shared" si="415"/>
        <v>3.129545454545454</v>
      </c>
      <c r="Q307" s="221">
        <f t="shared" si="416"/>
        <v>0.39119318181818169</v>
      </c>
      <c r="R307" s="221">
        <f t="shared" si="417"/>
        <v>0.39119318181818169</v>
      </c>
      <c r="S307" s="221">
        <f t="shared" si="418"/>
        <v>16</v>
      </c>
      <c r="T307" s="221">
        <f t="shared" si="419"/>
        <v>0.69786492374727682</v>
      </c>
      <c r="U307" s="221">
        <f t="shared" si="420"/>
        <v>0.43616557734204808</v>
      </c>
      <c r="V307" s="221">
        <f t="shared" si="421"/>
        <v>1.0690332777991374</v>
      </c>
      <c r="W307" s="201">
        <f t="shared" si="422"/>
        <v>350</v>
      </c>
      <c r="X307" s="451">
        <f t="shared" si="423"/>
        <v>350</v>
      </c>
      <c r="Z307" s="221">
        <f t="shared" si="424"/>
        <v>1.3246753246753247</v>
      </c>
      <c r="AA307" s="177">
        <f t="shared" si="425"/>
        <v>2.029220779220779</v>
      </c>
      <c r="AB307" s="177">
        <f t="shared" si="426"/>
        <v>0.37632821723730803</v>
      </c>
      <c r="AC307" s="177"/>
      <c r="AD307" s="177">
        <f t="shared" si="427"/>
        <v>0.4595588235294118</v>
      </c>
      <c r="AE307" s="555">
        <f t="shared" si="428"/>
        <v>3300.2666666666678</v>
      </c>
      <c r="AF307" s="538">
        <f t="shared" si="429"/>
        <v>1.9301470588235291E-2</v>
      </c>
      <c r="AH307" s="177">
        <f t="shared" si="430"/>
        <v>0.91214034007931044</v>
      </c>
      <c r="AI307" s="177">
        <f t="shared" si="431"/>
        <v>0.91214034007931044</v>
      </c>
      <c r="AJ307" s="177">
        <f t="shared" si="432"/>
        <v>1.6534372889476372</v>
      </c>
      <c r="AL307" s="555">
        <f t="shared" si="433"/>
        <v>182.00000000000003</v>
      </c>
      <c r="AM307" s="469">
        <f t="shared" si="434"/>
        <v>350</v>
      </c>
      <c r="AO307">
        <f t="shared" si="435"/>
        <v>182.00000000000003</v>
      </c>
      <c r="AP307">
        <f t="shared" si="436"/>
        <v>350</v>
      </c>
      <c r="AR307" s="5">
        <f t="shared" si="406"/>
        <v>2.8571428571428572</v>
      </c>
      <c r="AS307" s="5">
        <f t="shared" ref="AS307:AS316" si="439">L*AI307/J307*1000000</f>
        <v>0.57008771254956903</v>
      </c>
      <c r="AT307" s="5">
        <f t="shared" ref="AT307:AT316" si="440">AR307-AS307</f>
        <v>2.2870551445932881</v>
      </c>
      <c r="AU307" s="177">
        <f t="shared" ref="AU307:AU316" si="441">AS307/AR307</f>
        <v>0.19953069939234916</v>
      </c>
      <c r="CI307" s="571">
        <f t="shared" si="437"/>
        <v>-50</v>
      </c>
    </row>
    <row r="308" spans="4:87" x14ac:dyDescent="0.25">
      <c r="E308" s="174">
        <v>92</v>
      </c>
      <c r="F308" s="221">
        <f t="shared" si="438"/>
        <v>0.18400000000000002</v>
      </c>
      <c r="G308" s="221">
        <f t="shared" si="407"/>
        <v>9.2000000000000012E-2</v>
      </c>
      <c r="H308" s="221">
        <f t="shared" si="408"/>
        <v>2.9440000000000004</v>
      </c>
      <c r="I308" s="221">
        <f t="shared" si="409"/>
        <v>1.4720000000000002</v>
      </c>
      <c r="J308" s="551">
        <f t="shared" si="410"/>
        <v>48</v>
      </c>
      <c r="K308" s="451">
        <f t="shared" si="411"/>
        <v>19.584</v>
      </c>
      <c r="L308" s="451">
        <f t="shared" si="412"/>
        <v>67.584000000000003</v>
      </c>
      <c r="M308" s="451"/>
      <c r="N308" s="221">
        <f t="shared" si="413"/>
        <v>0.28977272727272724</v>
      </c>
      <c r="O308" s="176">
        <f t="shared" si="414"/>
        <v>6.259090909090907</v>
      </c>
      <c r="P308" s="176">
        <f t="shared" si="415"/>
        <v>3.129545454545454</v>
      </c>
      <c r="Q308" s="221">
        <f t="shared" si="416"/>
        <v>0.39119318181818169</v>
      </c>
      <c r="R308" s="221">
        <f t="shared" si="417"/>
        <v>0.39119318181818169</v>
      </c>
      <c r="S308" s="221">
        <f t="shared" si="418"/>
        <v>16</v>
      </c>
      <c r="T308" s="221">
        <f t="shared" si="419"/>
        <v>0.70553376906318088</v>
      </c>
      <c r="U308" s="221">
        <f t="shared" si="420"/>
        <v>0.44095860566448802</v>
      </c>
      <c r="V308" s="221">
        <f t="shared" si="421"/>
        <v>1.0807808962364904</v>
      </c>
      <c r="W308" s="201">
        <f t="shared" si="422"/>
        <v>350</v>
      </c>
      <c r="X308" s="451">
        <f t="shared" si="423"/>
        <v>350</v>
      </c>
      <c r="Z308" s="221">
        <f t="shared" si="424"/>
        <v>1.3246753246753247</v>
      </c>
      <c r="AA308" s="177">
        <f t="shared" si="425"/>
        <v>2.029220779220779</v>
      </c>
      <c r="AB308" s="177">
        <f t="shared" si="426"/>
        <v>0.37632821723730803</v>
      </c>
      <c r="AC308" s="177"/>
      <c r="AD308" s="177">
        <f t="shared" si="427"/>
        <v>0.4595588235294118</v>
      </c>
      <c r="AE308" s="555">
        <f t="shared" si="428"/>
        <v>3336.5333333333342</v>
      </c>
      <c r="AF308" s="538">
        <f t="shared" si="429"/>
        <v>1.9301470588235291E-2</v>
      </c>
      <c r="AH308" s="177">
        <f t="shared" si="430"/>
        <v>0.91713840675377734</v>
      </c>
      <c r="AI308" s="177">
        <f t="shared" si="431"/>
        <v>0.91713840675377734</v>
      </c>
      <c r="AJ308" s="177">
        <f t="shared" si="432"/>
        <v>1.6571395605583534</v>
      </c>
      <c r="AL308" s="555">
        <f t="shared" si="433"/>
        <v>184.00000000000003</v>
      </c>
      <c r="AM308" s="469">
        <f t="shared" si="434"/>
        <v>350</v>
      </c>
      <c r="AO308">
        <f t="shared" si="435"/>
        <v>184.00000000000003</v>
      </c>
      <c r="AP308">
        <f t="shared" si="436"/>
        <v>350</v>
      </c>
      <c r="AR308" s="5">
        <f t="shared" si="406"/>
        <v>2.8571428571428572</v>
      </c>
      <c r="AS308" s="5">
        <f t="shared" si="439"/>
        <v>0.57321150422111089</v>
      </c>
      <c r="AT308" s="5">
        <f t="shared" si="440"/>
        <v>2.2839313529217464</v>
      </c>
      <c r="AU308" s="177">
        <f t="shared" si="441"/>
        <v>0.20062402647738881</v>
      </c>
      <c r="CI308" s="571">
        <f t="shared" si="437"/>
        <v>-50</v>
      </c>
    </row>
    <row r="309" spans="4:87" x14ac:dyDescent="0.25">
      <c r="E309" s="174">
        <v>93</v>
      </c>
      <c r="F309" s="221">
        <f t="shared" si="438"/>
        <v>0.18600000000000003</v>
      </c>
      <c r="G309" s="221">
        <f t="shared" si="407"/>
        <v>9.3000000000000013E-2</v>
      </c>
      <c r="H309" s="221">
        <f t="shared" si="408"/>
        <v>2.9760000000000004</v>
      </c>
      <c r="I309" s="221">
        <f t="shared" si="409"/>
        <v>1.4880000000000002</v>
      </c>
      <c r="J309" s="551">
        <f t="shared" si="410"/>
        <v>48</v>
      </c>
      <c r="K309" s="451">
        <f t="shared" si="411"/>
        <v>19.584</v>
      </c>
      <c r="L309" s="451">
        <f t="shared" si="412"/>
        <v>67.584000000000003</v>
      </c>
      <c r="M309" s="451"/>
      <c r="N309" s="221">
        <f t="shared" si="413"/>
        <v>0.28977272727272724</v>
      </c>
      <c r="O309" s="176">
        <f t="shared" si="414"/>
        <v>6.259090909090907</v>
      </c>
      <c r="P309" s="176">
        <f t="shared" si="415"/>
        <v>3.129545454545454</v>
      </c>
      <c r="Q309" s="221">
        <f t="shared" si="416"/>
        <v>0.39119318181818169</v>
      </c>
      <c r="R309" s="221">
        <f t="shared" si="417"/>
        <v>0.39119318181818169</v>
      </c>
      <c r="S309" s="221">
        <f t="shared" si="418"/>
        <v>16</v>
      </c>
      <c r="T309" s="221">
        <f t="shared" si="419"/>
        <v>0.71320261437908505</v>
      </c>
      <c r="U309" s="221">
        <f t="shared" si="420"/>
        <v>0.44575163398692813</v>
      </c>
      <c r="V309" s="221">
        <f t="shared" si="421"/>
        <v>1.0925285146738435</v>
      </c>
      <c r="W309" s="201">
        <f t="shared" si="422"/>
        <v>350</v>
      </c>
      <c r="X309" s="451">
        <f t="shared" si="423"/>
        <v>350</v>
      </c>
      <c r="Z309" s="221">
        <f t="shared" si="424"/>
        <v>1.3246753246753247</v>
      </c>
      <c r="AA309" s="177">
        <f t="shared" si="425"/>
        <v>2.029220779220779</v>
      </c>
      <c r="AB309" s="177">
        <f t="shared" si="426"/>
        <v>0.37632821723730803</v>
      </c>
      <c r="AC309" s="177"/>
      <c r="AD309" s="177">
        <f t="shared" si="427"/>
        <v>0.4595588235294118</v>
      </c>
      <c r="AE309" s="555">
        <f t="shared" si="428"/>
        <v>3372.8000000000006</v>
      </c>
      <c r="AF309" s="538">
        <f t="shared" si="429"/>
        <v>1.9301470588235291E-2</v>
      </c>
      <c r="AH309" s="177">
        <f t="shared" si="430"/>
        <v>0.92210938303745416</v>
      </c>
      <c r="AI309" s="177">
        <f t="shared" si="431"/>
        <v>0.92210938303745416</v>
      </c>
      <c r="AJ309" s="177">
        <f t="shared" si="432"/>
        <v>1.6608217652129289</v>
      </c>
      <c r="AL309" s="555">
        <f t="shared" si="433"/>
        <v>186.00000000000003</v>
      </c>
      <c r="AM309" s="469">
        <f t="shared" si="434"/>
        <v>350</v>
      </c>
      <c r="AO309">
        <f t="shared" si="435"/>
        <v>186.00000000000003</v>
      </c>
      <c r="AP309">
        <f t="shared" si="436"/>
        <v>350</v>
      </c>
      <c r="AR309" s="5">
        <f t="shared" si="406"/>
        <v>2.8571428571428572</v>
      </c>
      <c r="AS309" s="5">
        <f t="shared" si="439"/>
        <v>0.57631836439840889</v>
      </c>
      <c r="AT309" s="5">
        <f t="shared" si="440"/>
        <v>2.2808244927444483</v>
      </c>
      <c r="AU309" s="177">
        <f t="shared" si="441"/>
        <v>0.2017114275394431</v>
      </c>
      <c r="CI309" s="571">
        <f t="shared" si="437"/>
        <v>-50</v>
      </c>
    </row>
    <row r="310" spans="4:87" x14ac:dyDescent="0.25">
      <c r="E310" s="174">
        <v>94</v>
      </c>
      <c r="F310" s="221">
        <f t="shared" si="438"/>
        <v>0.188</v>
      </c>
      <c r="G310" s="221">
        <f t="shared" si="407"/>
        <v>9.4E-2</v>
      </c>
      <c r="H310" s="221">
        <f t="shared" si="408"/>
        <v>3.008</v>
      </c>
      <c r="I310" s="221">
        <f t="shared" si="409"/>
        <v>1.504</v>
      </c>
      <c r="J310" s="551">
        <f t="shared" si="410"/>
        <v>48</v>
      </c>
      <c r="K310" s="451">
        <f t="shared" si="411"/>
        <v>19.584</v>
      </c>
      <c r="L310" s="451">
        <f t="shared" si="412"/>
        <v>67.584000000000003</v>
      </c>
      <c r="M310" s="451"/>
      <c r="N310" s="221">
        <f t="shared" si="413"/>
        <v>0.28977272727272724</v>
      </c>
      <c r="O310" s="176">
        <f t="shared" si="414"/>
        <v>6.259090909090907</v>
      </c>
      <c r="P310" s="176">
        <f t="shared" si="415"/>
        <v>3.129545454545454</v>
      </c>
      <c r="Q310" s="221">
        <f t="shared" si="416"/>
        <v>0.39119318181818169</v>
      </c>
      <c r="R310" s="221">
        <f t="shared" si="417"/>
        <v>0.39119318181818169</v>
      </c>
      <c r="S310" s="221">
        <f t="shared" si="418"/>
        <v>16</v>
      </c>
      <c r="T310" s="221">
        <f t="shared" si="419"/>
        <v>0.72087145969498923</v>
      </c>
      <c r="U310" s="221">
        <f t="shared" si="420"/>
        <v>0.45054466230936824</v>
      </c>
      <c r="V310" s="221">
        <f t="shared" si="421"/>
        <v>1.1042761331111968</v>
      </c>
      <c r="W310" s="201">
        <f t="shared" si="422"/>
        <v>350</v>
      </c>
      <c r="X310" s="451">
        <f t="shared" si="423"/>
        <v>350</v>
      </c>
      <c r="Z310" s="221">
        <f t="shared" si="424"/>
        <v>1.3246753246753247</v>
      </c>
      <c r="AA310" s="177">
        <f t="shared" si="425"/>
        <v>2.029220779220779</v>
      </c>
      <c r="AB310" s="177">
        <f t="shared" si="426"/>
        <v>0.37632821723730803</v>
      </c>
      <c r="AC310" s="177"/>
      <c r="AD310" s="177">
        <f t="shared" si="427"/>
        <v>0.4595588235294118</v>
      </c>
      <c r="AE310" s="555">
        <f t="shared" si="428"/>
        <v>3409.066666666668</v>
      </c>
      <c r="AF310" s="538">
        <f t="shared" si="429"/>
        <v>1.9301470588235291E-2</v>
      </c>
      <c r="AH310" s="177">
        <f t="shared" si="430"/>
        <v>0.9270537047164914</v>
      </c>
      <c r="AI310" s="177">
        <f t="shared" si="431"/>
        <v>0.9270537047164914</v>
      </c>
      <c r="AJ310" s="177">
        <f t="shared" si="432"/>
        <v>1.6644842257159196</v>
      </c>
      <c r="AL310" s="555">
        <f t="shared" si="433"/>
        <v>188</v>
      </c>
      <c r="AM310" s="469">
        <f t="shared" si="434"/>
        <v>350</v>
      </c>
      <c r="AO310">
        <f t="shared" si="435"/>
        <v>188</v>
      </c>
      <c r="AP310">
        <f t="shared" si="436"/>
        <v>350</v>
      </c>
      <c r="AR310" s="5">
        <f t="shared" si="406"/>
        <v>2.8571428571428572</v>
      </c>
      <c r="AS310" s="5">
        <f t="shared" si="439"/>
        <v>0.57940856544780706</v>
      </c>
      <c r="AT310" s="5">
        <f t="shared" si="440"/>
        <v>2.27773429169505</v>
      </c>
      <c r="AU310" s="177">
        <f t="shared" si="441"/>
        <v>0.20279299790673247</v>
      </c>
      <c r="CI310" s="571">
        <f t="shared" si="437"/>
        <v>-50</v>
      </c>
    </row>
    <row r="311" spans="4:87" x14ac:dyDescent="0.25">
      <c r="E311" s="174">
        <v>95</v>
      </c>
      <c r="F311" s="221">
        <f t="shared" si="438"/>
        <v>0.19</v>
      </c>
      <c r="G311" s="221">
        <f t="shared" si="407"/>
        <v>9.5000000000000001E-2</v>
      </c>
      <c r="H311" s="221">
        <f t="shared" si="408"/>
        <v>3.04</v>
      </c>
      <c r="I311" s="221">
        <f t="shared" si="409"/>
        <v>1.52</v>
      </c>
      <c r="J311" s="551">
        <f t="shared" si="410"/>
        <v>48</v>
      </c>
      <c r="K311" s="451">
        <f t="shared" si="411"/>
        <v>19.584</v>
      </c>
      <c r="L311" s="451">
        <f t="shared" si="412"/>
        <v>67.584000000000003</v>
      </c>
      <c r="M311" s="451"/>
      <c r="N311" s="221">
        <f t="shared" si="413"/>
        <v>0.28977272727272724</v>
      </c>
      <c r="O311" s="176">
        <f t="shared" si="414"/>
        <v>6.259090909090907</v>
      </c>
      <c r="P311" s="176">
        <f t="shared" si="415"/>
        <v>3.129545454545454</v>
      </c>
      <c r="Q311" s="221">
        <f t="shared" si="416"/>
        <v>0.39119318181818169</v>
      </c>
      <c r="R311" s="221">
        <f t="shared" si="417"/>
        <v>0.39119318181818169</v>
      </c>
      <c r="S311" s="221">
        <f t="shared" si="418"/>
        <v>16</v>
      </c>
      <c r="T311" s="221">
        <f t="shared" si="419"/>
        <v>0.7285403050108934</v>
      </c>
      <c r="U311" s="221">
        <f t="shared" si="420"/>
        <v>0.4553376906318084</v>
      </c>
      <c r="V311" s="221">
        <f t="shared" si="421"/>
        <v>1.11602375154855</v>
      </c>
      <c r="W311" s="201">
        <f t="shared" si="422"/>
        <v>350</v>
      </c>
      <c r="X311" s="451">
        <f t="shared" si="423"/>
        <v>350</v>
      </c>
      <c r="Z311" s="221">
        <f t="shared" si="424"/>
        <v>1.3246753246753247</v>
      </c>
      <c r="AA311" s="177">
        <f t="shared" si="425"/>
        <v>2.029220779220779</v>
      </c>
      <c r="AB311" s="177">
        <f t="shared" si="426"/>
        <v>0.37632821723730803</v>
      </c>
      <c r="AC311" s="177"/>
      <c r="AD311" s="177">
        <f t="shared" si="427"/>
        <v>0.4595588235294118</v>
      </c>
      <c r="AE311" s="555">
        <f t="shared" si="428"/>
        <v>3445.3333333333339</v>
      </c>
      <c r="AF311" s="538">
        <f t="shared" si="429"/>
        <v>1.9301470588235291E-2</v>
      </c>
      <c r="AH311" s="177">
        <f t="shared" si="430"/>
        <v>0.93197179601714808</v>
      </c>
      <c r="AI311" s="177">
        <f t="shared" si="431"/>
        <v>0.93197179601714808</v>
      </c>
      <c r="AJ311" s="177">
        <f t="shared" si="432"/>
        <v>1.6681272563089986</v>
      </c>
      <c r="AL311" s="555">
        <f t="shared" si="433"/>
        <v>190</v>
      </c>
      <c r="AM311" s="469">
        <f t="shared" si="434"/>
        <v>350</v>
      </c>
      <c r="AO311">
        <f t="shared" si="435"/>
        <v>190</v>
      </c>
      <c r="AP311">
        <f t="shared" si="436"/>
        <v>350</v>
      </c>
      <c r="AR311" s="5">
        <f t="shared" si="406"/>
        <v>2.8571428571428572</v>
      </c>
      <c r="AS311" s="5">
        <f t="shared" si="439"/>
        <v>0.58248237251071755</v>
      </c>
      <c r="AT311" s="5">
        <f t="shared" si="440"/>
        <v>2.2746604846321397</v>
      </c>
      <c r="AU311" s="177">
        <f t="shared" si="441"/>
        <v>0.20386883037875114</v>
      </c>
      <c r="CI311" s="571">
        <f t="shared" si="437"/>
        <v>-50</v>
      </c>
    </row>
    <row r="312" spans="4:87" x14ac:dyDescent="0.25">
      <c r="E312" s="174">
        <v>96</v>
      </c>
      <c r="F312" s="221">
        <f t="shared" si="438"/>
        <v>0.192</v>
      </c>
      <c r="G312" s="221">
        <f t="shared" si="407"/>
        <v>9.6000000000000002E-2</v>
      </c>
      <c r="H312" s="221">
        <f t="shared" si="408"/>
        <v>3.0720000000000001</v>
      </c>
      <c r="I312" s="221">
        <f t="shared" si="409"/>
        <v>1.536</v>
      </c>
      <c r="J312" s="551">
        <f t="shared" si="410"/>
        <v>48</v>
      </c>
      <c r="K312" s="451">
        <f t="shared" si="411"/>
        <v>19.584</v>
      </c>
      <c r="L312" s="451">
        <f t="shared" si="412"/>
        <v>67.584000000000003</v>
      </c>
      <c r="M312" s="451"/>
      <c r="N312" s="221">
        <f t="shared" si="413"/>
        <v>0.28977272727272724</v>
      </c>
      <c r="O312" s="176">
        <f t="shared" ref="O312:O316" si="442">N312*J312*Isw_max*0.5*Efficiency*Pout/(Pout+Pout2)</f>
        <v>6.259090909090907</v>
      </c>
      <c r="P312" s="176">
        <f t="shared" si="415"/>
        <v>3.129545454545454</v>
      </c>
      <c r="Q312" s="221">
        <f t="shared" si="416"/>
        <v>0.39119318181818169</v>
      </c>
      <c r="R312" s="221">
        <f t="shared" si="417"/>
        <v>0.39119318181818169</v>
      </c>
      <c r="S312" s="221">
        <f t="shared" si="418"/>
        <v>16</v>
      </c>
      <c r="T312" s="221">
        <f t="shared" si="419"/>
        <v>0.73620915032679746</v>
      </c>
      <c r="U312" s="221">
        <f t="shared" si="420"/>
        <v>0.4601307189542484</v>
      </c>
      <c r="V312" s="221">
        <f t="shared" si="421"/>
        <v>1.1277713699859029</v>
      </c>
      <c r="W312" s="201">
        <f t="shared" si="422"/>
        <v>350</v>
      </c>
      <c r="X312" s="451">
        <f t="shared" si="423"/>
        <v>350</v>
      </c>
      <c r="Z312" s="221">
        <f t="shared" si="424"/>
        <v>1.3246753246753247</v>
      </c>
      <c r="AA312" s="177">
        <f t="shared" si="425"/>
        <v>2.029220779220779</v>
      </c>
      <c r="AB312" s="177">
        <f t="shared" ref="AB312:AB316" si="443">0.5*AA312*Z312*Nps*W312/1000*(Pout/(Pout+Pout2))</f>
        <v>0.37632821723730803</v>
      </c>
      <c r="AC312" s="177"/>
      <c r="AD312" s="177">
        <f t="shared" si="427"/>
        <v>0.4595588235294118</v>
      </c>
      <c r="AE312" s="555">
        <f t="shared" ref="AE312:AE316" si="444">MAX(10, F312/(0.5*AD312/1000000*Isw_min*Nps)/1000*Pout_total/Pout)</f>
        <v>3481.6000000000013</v>
      </c>
      <c r="AF312" s="538">
        <f t="shared" si="429"/>
        <v>1.9301470588235291E-2</v>
      </c>
      <c r="AH312" s="177">
        <f t="shared" si="430"/>
        <v>0.93686407003059191</v>
      </c>
      <c r="AI312" s="177">
        <f t="shared" ref="AI312:AI316" si="445">MAX(IF(F312&gt;AB312,T312,AH312),Isw_min)</f>
        <v>0.93686407003059191</v>
      </c>
      <c r="AJ312" s="177">
        <f t="shared" ref="AJ312:AJ316" si="446">IF(F312&gt;AF312, (AI312-Isw_min)/1.08*0.8+1.2, AE312*0.2/350+1)</f>
        <v>1.6717511629856237</v>
      </c>
      <c r="AL312" s="555">
        <f t="shared" si="433"/>
        <v>192</v>
      </c>
      <c r="AM312" s="469">
        <f t="shared" si="434"/>
        <v>350</v>
      </c>
      <c r="AO312">
        <f t="shared" si="435"/>
        <v>192</v>
      </c>
      <c r="AP312">
        <f t="shared" si="436"/>
        <v>350</v>
      </c>
      <c r="AR312" s="5">
        <f t="shared" si="406"/>
        <v>2.8571428571428572</v>
      </c>
      <c r="AS312" s="5">
        <f t="shared" si="439"/>
        <v>0.58554004376911994</v>
      </c>
      <c r="AT312" s="5">
        <f t="shared" si="440"/>
        <v>2.2716028133737374</v>
      </c>
      <c r="AU312" s="177">
        <f t="shared" si="441"/>
        <v>0.20493901531919198</v>
      </c>
      <c r="CI312" s="571">
        <f t="shared" si="437"/>
        <v>-50</v>
      </c>
    </row>
    <row r="313" spans="4:87" x14ac:dyDescent="0.25">
      <c r="E313" s="174">
        <v>97</v>
      </c>
      <c r="F313" s="221">
        <f t="shared" ref="F313:F316" si="447">IF(PLOT_TYPE=1, E313/100*Iout_max, min_I*EXP(O313*rr/100))</f>
        <v>0.19400000000000001</v>
      </c>
      <c r="G313" s="221">
        <f t="shared" si="407"/>
        <v>9.7000000000000003E-2</v>
      </c>
      <c r="H313" s="221">
        <f t="shared" si="408"/>
        <v>3.1040000000000001</v>
      </c>
      <c r="I313" s="221">
        <f t="shared" si="409"/>
        <v>1.552</v>
      </c>
      <c r="J313" s="551">
        <f t="shared" si="410"/>
        <v>48</v>
      </c>
      <c r="K313" s="451">
        <f t="shared" si="411"/>
        <v>19.584</v>
      </c>
      <c r="L313" s="451">
        <f t="shared" si="412"/>
        <v>67.584000000000003</v>
      </c>
      <c r="M313" s="451"/>
      <c r="N313" s="221">
        <f t="shared" si="413"/>
        <v>0.28977272727272724</v>
      </c>
      <c r="O313" s="176">
        <f t="shared" si="442"/>
        <v>6.259090909090907</v>
      </c>
      <c r="P313" s="176">
        <f t="shared" si="415"/>
        <v>3.129545454545454</v>
      </c>
      <c r="Q313" s="221">
        <f t="shared" si="416"/>
        <v>0.39119318181818169</v>
      </c>
      <c r="R313" s="221">
        <f t="shared" si="417"/>
        <v>0.39119318181818169</v>
      </c>
      <c r="S313" s="221">
        <f t="shared" si="418"/>
        <v>16</v>
      </c>
      <c r="T313" s="221">
        <f t="shared" si="419"/>
        <v>0.74387799564270163</v>
      </c>
      <c r="U313" s="221">
        <f t="shared" si="420"/>
        <v>0.4649237472766885</v>
      </c>
      <c r="V313" s="221">
        <f t="shared" si="421"/>
        <v>1.1395189884232562</v>
      </c>
      <c r="W313" s="201">
        <f t="shared" si="422"/>
        <v>350</v>
      </c>
      <c r="X313" s="451">
        <f t="shared" si="423"/>
        <v>350</v>
      </c>
      <c r="Z313" s="221">
        <f t="shared" si="424"/>
        <v>1.3246753246753247</v>
      </c>
      <c r="AA313" s="177">
        <f t="shared" si="425"/>
        <v>2.029220779220779</v>
      </c>
      <c r="AB313" s="177">
        <f t="shared" si="443"/>
        <v>0.37632821723730803</v>
      </c>
      <c r="AC313" s="177"/>
      <c r="AD313" s="177">
        <f t="shared" si="427"/>
        <v>0.4595588235294118</v>
      </c>
      <c r="AE313" s="555">
        <f t="shared" si="444"/>
        <v>3517.8666666666672</v>
      </c>
      <c r="AF313" s="538">
        <f t="shared" si="429"/>
        <v>1.9301470588235291E-2</v>
      </c>
      <c r="AH313" s="177">
        <f t="shared" si="430"/>
        <v>0.94173092911783618</v>
      </c>
      <c r="AI313" s="177">
        <f t="shared" si="445"/>
        <v>0.94173092911783618</v>
      </c>
      <c r="AJ313" s="177">
        <f t="shared" si="446"/>
        <v>1.6753562437909897</v>
      </c>
      <c r="AL313" s="555">
        <f t="shared" si="433"/>
        <v>194</v>
      </c>
      <c r="AM313" s="469">
        <f t="shared" si="434"/>
        <v>350</v>
      </c>
      <c r="AO313">
        <f t="shared" si="435"/>
        <v>194</v>
      </c>
      <c r="AP313">
        <f t="shared" si="436"/>
        <v>350</v>
      </c>
      <c r="AR313" s="5">
        <f t="shared" si="406"/>
        <v>2.8571428571428572</v>
      </c>
      <c r="AS313" s="5">
        <f t="shared" si="439"/>
        <v>0.58858183069864767</v>
      </c>
      <c r="AT313" s="5">
        <f t="shared" si="440"/>
        <v>2.2685610264442095</v>
      </c>
      <c r="AU313" s="177">
        <f t="shared" si="441"/>
        <v>0.20600364074452668</v>
      </c>
      <c r="CI313" s="571">
        <f t="shared" si="437"/>
        <v>-50</v>
      </c>
    </row>
    <row r="314" spans="4:87" x14ac:dyDescent="0.25">
      <c r="E314" s="174">
        <v>98</v>
      </c>
      <c r="F314" s="221">
        <f t="shared" si="447"/>
        <v>0.19600000000000001</v>
      </c>
      <c r="G314" s="221">
        <f t="shared" si="407"/>
        <v>9.8000000000000004E-2</v>
      </c>
      <c r="H314" s="221">
        <f t="shared" si="408"/>
        <v>3.1360000000000001</v>
      </c>
      <c r="I314" s="221">
        <f t="shared" si="409"/>
        <v>1.5680000000000001</v>
      </c>
      <c r="J314" s="551">
        <f t="shared" si="410"/>
        <v>48</v>
      </c>
      <c r="K314" s="451">
        <f t="shared" si="411"/>
        <v>19.584</v>
      </c>
      <c r="L314" s="451">
        <f t="shared" si="412"/>
        <v>67.584000000000003</v>
      </c>
      <c r="M314" s="451"/>
      <c r="N314" s="221">
        <f t="shared" si="413"/>
        <v>0.28977272727272724</v>
      </c>
      <c r="O314" s="176">
        <f t="shared" si="442"/>
        <v>6.259090909090907</v>
      </c>
      <c r="P314" s="176">
        <f t="shared" si="415"/>
        <v>3.129545454545454</v>
      </c>
      <c r="Q314" s="221">
        <f t="shared" si="416"/>
        <v>0.39119318181818169</v>
      </c>
      <c r="R314" s="221">
        <f t="shared" si="417"/>
        <v>0.39119318181818169</v>
      </c>
      <c r="S314" s="221">
        <f t="shared" si="418"/>
        <v>16</v>
      </c>
      <c r="T314" s="221">
        <f t="shared" si="419"/>
        <v>0.7515468409586058</v>
      </c>
      <c r="U314" s="221">
        <f t="shared" si="420"/>
        <v>0.46971677559912861</v>
      </c>
      <c r="V314" s="221">
        <f t="shared" si="421"/>
        <v>1.1512666068606092</v>
      </c>
      <c r="W314" s="201">
        <f t="shared" si="422"/>
        <v>350</v>
      </c>
      <c r="X314" s="451">
        <f t="shared" si="423"/>
        <v>350</v>
      </c>
      <c r="Z314" s="221">
        <f t="shared" si="424"/>
        <v>1.3246753246753247</v>
      </c>
      <c r="AA314" s="177">
        <f t="shared" si="425"/>
        <v>2.029220779220779</v>
      </c>
      <c r="AB314" s="177">
        <f t="shared" si="443"/>
        <v>0.37632821723730803</v>
      </c>
      <c r="AC314" s="177"/>
      <c r="AD314" s="177">
        <f t="shared" si="427"/>
        <v>0.4595588235294118</v>
      </c>
      <c r="AE314" s="555">
        <f t="shared" si="444"/>
        <v>3554.1333333333341</v>
      </c>
      <c r="AF314" s="538">
        <f t="shared" si="429"/>
        <v>1.9301470588235291E-2</v>
      </c>
      <c r="AH314" s="177">
        <f t="shared" si="430"/>
        <v>0.94657276529593859</v>
      </c>
      <c r="AI314" s="177">
        <f t="shared" si="445"/>
        <v>0.94657276529593859</v>
      </c>
      <c r="AJ314" s="177">
        <f t="shared" si="446"/>
        <v>1.6789427891081026</v>
      </c>
      <c r="AL314" s="555">
        <f t="shared" si="433"/>
        <v>196</v>
      </c>
      <c r="AM314" s="469">
        <f t="shared" si="434"/>
        <v>350</v>
      </c>
      <c r="AO314">
        <f t="shared" si="435"/>
        <v>196</v>
      </c>
      <c r="AP314">
        <f t="shared" si="436"/>
        <v>350</v>
      </c>
      <c r="AR314" s="5">
        <f t="shared" si="406"/>
        <v>2.8571428571428572</v>
      </c>
      <c r="AS314" s="5">
        <f t="shared" si="439"/>
        <v>0.5916079783099617</v>
      </c>
      <c r="AT314" s="5">
        <f t="shared" si="440"/>
        <v>2.2655348788328955</v>
      </c>
      <c r="AU314" s="177">
        <f t="shared" si="441"/>
        <v>0.2070627924084866</v>
      </c>
      <c r="CI314" s="571">
        <f t="shared" si="437"/>
        <v>-50</v>
      </c>
    </row>
    <row r="315" spans="4:87" x14ac:dyDescent="0.25">
      <c r="E315" s="174">
        <v>99</v>
      </c>
      <c r="F315" s="221">
        <f t="shared" si="447"/>
        <v>0.19800000000000001</v>
      </c>
      <c r="G315" s="221">
        <f t="shared" si="407"/>
        <v>9.9000000000000005E-2</v>
      </c>
      <c r="H315" s="221">
        <f t="shared" si="408"/>
        <v>3.1680000000000001</v>
      </c>
      <c r="I315" s="221">
        <f t="shared" si="409"/>
        <v>1.5840000000000001</v>
      </c>
      <c r="J315" s="551">
        <f t="shared" si="410"/>
        <v>48</v>
      </c>
      <c r="K315" s="451">
        <f t="shared" si="411"/>
        <v>19.584</v>
      </c>
      <c r="L315" s="451">
        <f t="shared" si="412"/>
        <v>67.584000000000003</v>
      </c>
      <c r="M315" s="451"/>
      <c r="N315" s="221">
        <f t="shared" si="413"/>
        <v>0.28977272727272724</v>
      </c>
      <c r="O315" s="176">
        <f t="shared" si="442"/>
        <v>6.259090909090907</v>
      </c>
      <c r="P315" s="176">
        <f t="shared" si="415"/>
        <v>3.129545454545454</v>
      </c>
      <c r="Q315" s="221">
        <f t="shared" si="416"/>
        <v>0.39119318181818169</v>
      </c>
      <c r="R315" s="221">
        <f t="shared" si="417"/>
        <v>0.39119318181818169</v>
      </c>
      <c r="S315" s="221">
        <f t="shared" si="418"/>
        <v>16</v>
      </c>
      <c r="T315" s="221">
        <f t="shared" si="419"/>
        <v>0.75921568627450997</v>
      </c>
      <c r="U315" s="221">
        <f t="shared" si="420"/>
        <v>0.47450980392156877</v>
      </c>
      <c r="V315" s="221">
        <f t="shared" si="421"/>
        <v>1.1630142252979627</v>
      </c>
      <c r="W315" s="201">
        <f t="shared" si="422"/>
        <v>350</v>
      </c>
      <c r="X315" s="451">
        <f t="shared" si="423"/>
        <v>350</v>
      </c>
      <c r="Z315" s="221">
        <f t="shared" si="424"/>
        <v>1.3246753246753247</v>
      </c>
      <c r="AA315" s="177">
        <f t="shared" si="425"/>
        <v>2.029220779220779</v>
      </c>
      <c r="AB315" s="177">
        <f t="shared" si="443"/>
        <v>0.37632821723730803</v>
      </c>
      <c r="AC315" s="177"/>
      <c r="AD315" s="177">
        <f t="shared" si="427"/>
        <v>0.4595588235294118</v>
      </c>
      <c r="AE315" s="555">
        <f t="shared" si="444"/>
        <v>3590.400000000001</v>
      </c>
      <c r="AF315" s="538">
        <f t="shared" si="429"/>
        <v>1.9301470588235291E-2</v>
      </c>
      <c r="AH315" s="177">
        <f t="shared" si="430"/>
        <v>0.95138996060651027</v>
      </c>
      <c r="AI315" s="177">
        <f t="shared" si="445"/>
        <v>0.95138996060651027</v>
      </c>
      <c r="AJ315" s="177">
        <f t="shared" si="446"/>
        <v>1.6825110819307483</v>
      </c>
      <c r="AL315" s="555">
        <f t="shared" si="433"/>
        <v>198</v>
      </c>
      <c r="AM315" s="469">
        <f t="shared" si="434"/>
        <v>350</v>
      </c>
      <c r="AO315">
        <f t="shared" si="435"/>
        <v>198</v>
      </c>
      <c r="AP315">
        <f t="shared" si="436"/>
        <v>350</v>
      </c>
      <c r="AR315" s="5">
        <f t="shared" si="406"/>
        <v>2.8571428571428572</v>
      </c>
      <c r="AS315" s="5">
        <f t="shared" si="439"/>
        <v>0.59461872537906901</v>
      </c>
      <c r="AT315" s="5">
        <f t="shared" si="440"/>
        <v>2.2625241317637883</v>
      </c>
      <c r="AU315" s="177">
        <f t="shared" si="441"/>
        <v>0.20811655388267414</v>
      </c>
      <c r="CI315" s="571">
        <f t="shared" si="437"/>
        <v>-50</v>
      </c>
    </row>
    <row r="316" spans="4:87" x14ac:dyDescent="0.25">
      <c r="E316" s="174">
        <v>100</v>
      </c>
      <c r="F316" s="221">
        <f t="shared" si="447"/>
        <v>0.2</v>
      </c>
      <c r="G316" s="221">
        <f t="shared" si="407"/>
        <v>0.1</v>
      </c>
      <c r="H316" s="221">
        <f t="shared" si="408"/>
        <v>3.2</v>
      </c>
      <c r="I316" s="221">
        <f t="shared" si="409"/>
        <v>1.6</v>
      </c>
      <c r="J316" s="551">
        <f t="shared" si="410"/>
        <v>48</v>
      </c>
      <c r="K316" s="451">
        <f t="shared" si="411"/>
        <v>19.584</v>
      </c>
      <c r="L316" s="451">
        <f t="shared" si="412"/>
        <v>67.584000000000003</v>
      </c>
      <c r="M316" s="451"/>
      <c r="N316" s="221">
        <f t="shared" si="413"/>
        <v>0.28977272727272724</v>
      </c>
      <c r="O316" s="176">
        <f t="shared" si="442"/>
        <v>6.259090909090907</v>
      </c>
      <c r="P316" s="176">
        <f t="shared" si="415"/>
        <v>3.129545454545454</v>
      </c>
      <c r="Q316" s="221">
        <f t="shared" si="416"/>
        <v>0.39119318181818169</v>
      </c>
      <c r="R316" s="221">
        <f t="shared" si="417"/>
        <v>0.39119318181818169</v>
      </c>
      <c r="S316" s="221">
        <f t="shared" si="418"/>
        <v>16</v>
      </c>
      <c r="T316" s="221">
        <f t="shared" si="419"/>
        <v>0.76688453159041414</v>
      </c>
      <c r="U316" s="221">
        <f t="shared" si="420"/>
        <v>0.47930283224400883</v>
      </c>
      <c r="V316" s="221">
        <f t="shared" si="421"/>
        <v>1.1747618437353158</v>
      </c>
      <c r="W316" s="201">
        <f t="shared" si="422"/>
        <v>350</v>
      </c>
      <c r="X316" s="451">
        <f t="shared" si="423"/>
        <v>350</v>
      </c>
      <c r="Z316" s="221">
        <f t="shared" si="424"/>
        <v>1.3246753246753247</v>
      </c>
      <c r="AA316" s="177">
        <f t="shared" si="425"/>
        <v>2.029220779220779</v>
      </c>
      <c r="AB316" s="177">
        <f t="shared" si="443"/>
        <v>0.37632821723730803</v>
      </c>
      <c r="AC316" s="177"/>
      <c r="AD316" s="177">
        <f t="shared" si="427"/>
        <v>0.4595588235294118</v>
      </c>
      <c r="AE316" s="555">
        <f t="shared" si="444"/>
        <v>3626.6666666666674</v>
      </c>
      <c r="AF316" s="538">
        <f t="shared" si="429"/>
        <v>1.9301470588235291E-2</v>
      </c>
      <c r="AH316" s="177">
        <f t="shared" si="430"/>
        <v>0.95618288746751501</v>
      </c>
      <c r="AI316" s="177">
        <f t="shared" si="445"/>
        <v>0.95618288746751501</v>
      </c>
      <c r="AJ316" s="177">
        <f t="shared" si="446"/>
        <v>1.6860613981240853</v>
      </c>
      <c r="AL316" s="555">
        <f t="shared" si="433"/>
        <v>200</v>
      </c>
      <c r="AM316" s="469">
        <f t="shared" si="434"/>
        <v>350</v>
      </c>
      <c r="AO316">
        <f t="shared" si="435"/>
        <v>200</v>
      </c>
      <c r="AP316">
        <f t="shared" si="436"/>
        <v>350</v>
      </c>
      <c r="AR316" s="5">
        <f t="shared" si="406"/>
        <v>2.8571428571428572</v>
      </c>
      <c r="AS316" s="5">
        <f t="shared" si="439"/>
        <v>0.597614304667197</v>
      </c>
      <c r="AT316" s="5">
        <f t="shared" si="440"/>
        <v>2.2595285524756603</v>
      </c>
      <c r="AU316" s="177">
        <f t="shared" si="441"/>
        <v>0.20916500663351895</v>
      </c>
      <c r="CI316" s="571">
        <f t="shared" si="437"/>
        <v>-50</v>
      </c>
    </row>
    <row r="317" spans="4:87" x14ac:dyDescent="0.25">
      <c r="E317" s="174"/>
      <c r="F317" s="221"/>
      <c r="G317" s="221"/>
    </row>
    <row r="319" spans="4:87" x14ac:dyDescent="0.25">
      <c r="D319" s="77" t="s">
        <v>824</v>
      </c>
    </row>
    <row r="320" spans="4:87" x14ac:dyDescent="0.25">
      <c r="E320" s="77" t="s">
        <v>840</v>
      </c>
      <c r="K320" s="77"/>
      <c r="L320" s="77" t="s">
        <v>844</v>
      </c>
    </row>
    <row r="321" spans="5:16" x14ac:dyDescent="0.25">
      <c r="F321" s="77" t="s">
        <v>841</v>
      </c>
      <c r="G321" s="77" t="s">
        <v>842</v>
      </c>
      <c r="M321" s="77" t="s">
        <v>845</v>
      </c>
      <c r="N321" s="77" t="s">
        <v>846</v>
      </c>
    </row>
    <row r="322" spans="5:16" x14ac:dyDescent="0.25">
      <c r="F322">
        <f>'LM(2)518x PSR flyback converter'!E57</f>
        <v>5.0000000000000001E-3</v>
      </c>
      <c r="G322" s="771">
        <f>F322*Vout</f>
        <v>0.08</v>
      </c>
      <c r="M322">
        <f>'LM(2)518x PSR flyback converter'!L57</f>
        <v>-5.0000000000000001E-3</v>
      </c>
      <c r="N322" s="771">
        <f>M322*'LM(2)518x PSR flyback converter'!E12</f>
        <v>0.08</v>
      </c>
    </row>
    <row r="323" spans="5:16" x14ac:dyDescent="0.25">
      <c r="E323" t="s">
        <v>832</v>
      </c>
      <c r="L323" t="s">
        <v>832</v>
      </c>
    </row>
    <row r="324" spans="5:16" x14ac:dyDescent="0.25">
      <c r="F324" t="s">
        <v>833</v>
      </c>
      <c r="G324" t="s">
        <v>834</v>
      </c>
      <c r="H324" t="s">
        <v>835</v>
      </c>
      <c r="I324" s="77" t="s">
        <v>676</v>
      </c>
      <c r="M324" t="s">
        <v>833</v>
      </c>
      <c r="N324" t="s">
        <v>834</v>
      </c>
      <c r="O324" t="s">
        <v>835</v>
      </c>
      <c r="P324" s="77" t="s">
        <v>676</v>
      </c>
    </row>
    <row r="325" spans="5:16" x14ac:dyDescent="0.25">
      <c r="F325" s="770">
        <v>1.9999999999999999E-7</v>
      </c>
      <c r="G325">
        <f>VIN_max</f>
        <v>48</v>
      </c>
      <c r="H325">
        <f>15000</f>
        <v>15000</v>
      </c>
      <c r="I325">
        <f>L*0.9</f>
        <v>2.7000000000000002E-5</v>
      </c>
      <c r="M325" s="770">
        <v>1.9999999999999999E-7</v>
      </c>
      <c r="N325">
        <f>VIN_max</f>
        <v>48</v>
      </c>
      <c r="O325">
        <f>15000</f>
        <v>15000</v>
      </c>
      <c r="P325">
        <f>L*0.9</f>
        <v>2.7000000000000002E-5</v>
      </c>
    </row>
    <row r="326" spans="5:16" x14ac:dyDescent="0.25">
      <c r="G326" s="77" t="s">
        <v>836</v>
      </c>
      <c r="N326" s="77" t="s">
        <v>836</v>
      </c>
    </row>
    <row r="327" spans="5:16" x14ac:dyDescent="0.25">
      <c r="G327" s="771">
        <f>0.5*(G325/I325*F325)^2*H325*I325</f>
        <v>2.5599999999999998E-2</v>
      </c>
      <c r="N327" s="771">
        <f>0.5*(N325/P325*M325)^2*O325*P325</f>
        <v>2.5599999999999998E-2</v>
      </c>
    </row>
    <row r="328" spans="5:16" x14ac:dyDescent="0.25">
      <c r="E328" s="77" t="s">
        <v>843</v>
      </c>
      <c r="K328" s="77"/>
      <c r="L328" s="77" t="s">
        <v>847</v>
      </c>
    </row>
    <row r="329" spans="5:16" x14ac:dyDescent="0.25">
      <c r="G329" t="str">
        <f>IF(G322+N322&lt;G327, "Yes", IF(G322&lt;G327, "Yes", "No"))</f>
        <v>No</v>
      </c>
      <c r="H329">
        <f>(Vout*1.05)^2/(G327-G322)</f>
        <v>-5188.2352941176468</v>
      </c>
      <c r="N329" t="str">
        <f>IF(G322+N322&lt;N327, "Yes", IF(N322&lt;N327, "Yes", "No"))</f>
        <v>No</v>
      </c>
      <c r="O329">
        <f>(Vout2*1.05)^2/(N327-N322)</f>
        <v>-5188.2352941176468</v>
      </c>
    </row>
    <row r="332" spans="5:16" x14ac:dyDescent="0.25">
      <c r="E332" s="77"/>
    </row>
    <row r="333" spans="5:16" x14ac:dyDescent="0.25">
      <c r="F333" s="77"/>
      <c r="G333" s="77"/>
    </row>
    <row r="334" spans="5:16" x14ac:dyDescent="0.25">
      <c r="G334" s="771"/>
    </row>
    <row r="336" spans="5:16" x14ac:dyDescent="0.25">
      <c r="I336" s="77"/>
    </row>
    <row r="337" spans="5:7" x14ac:dyDescent="0.25">
      <c r="F337" s="770"/>
    </row>
    <row r="338" spans="5:7" x14ac:dyDescent="0.25">
      <c r="G338" s="77"/>
    </row>
    <row r="339" spans="5:7" x14ac:dyDescent="0.25">
      <c r="G339" s="771"/>
    </row>
    <row r="340" spans="5:7" x14ac:dyDescent="0.25">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5" x14ac:dyDescent="0.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x14ac:dyDescent="0.3"/>
    <row r="4" spans="3:19" ht="13" x14ac:dyDescent="0.3">
      <c r="C4" s="224" t="s">
        <v>428</v>
      </c>
      <c r="D4" s="225"/>
      <c r="E4" s="226"/>
      <c r="F4" s="850" t="s">
        <v>189</v>
      </c>
      <c r="G4" s="851"/>
      <c r="H4" s="850"/>
      <c r="I4" s="850"/>
      <c r="J4" s="850"/>
      <c r="K4" s="851"/>
      <c r="L4" s="851"/>
      <c r="M4" s="851"/>
      <c r="N4" s="850"/>
      <c r="O4" s="853"/>
      <c r="P4" s="543"/>
      <c r="Q4" s="543"/>
      <c r="R4" s="543"/>
      <c r="S4" s="543"/>
    </row>
    <row r="5" spans="3:19" ht="45" customHeight="1" thickBot="1" x14ac:dyDescent="0.3">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5">
      <c r="C6" s="174">
        <v>0.1</v>
      </c>
      <c r="D6" s="539">
        <f>VIN_min</f>
        <v>12</v>
      </c>
      <c r="E6" s="451">
        <f t="shared" ref="E6:E37" si="0">(Vout+Vfwd1)*Nps</f>
        <v>19.584</v>
      </c>
      <c r="F6" s="221">
        <f t="shared" ref="F6:F37" si="1">(Vout+Vfwd1)*Nps/((Vout+Vfwd1)*Nps+D6)</f>
        <v>0.62006079027355621</v>
      </c>
      <c r="G6" s="176">
        <f t="shared" ref="G6:G37" si="2">F6*D6*Isw_max*0.5*Efficiency</f>
        <v>5.0224924012158052</v>
      </c>
      <c r="H6" s="221">
        <f t="shared" ref="H6:H37" si="3">G6/Vout</f>
        <v>0.31390577507598783</v>
      </c>
      <c r="I6" s="451">
        <f t="shared" ref="I6:I37" si="4">(Vout+Vfwd1)*Nps+D6</f>
        <v>31.584</v>
      </c>
      <c r="J6" s="176">
        <f t="shared" ref="J6:J37" si="5">MIN(2*Vout*Iout/(Efficiency*D6*F6), 1.35)</f>
        <v>0.9557007988380537</v>
      </c>
      <c r="K6" s="176">
        <f t="shared" ref="K6:K37" si="6">L*J6/D6*1000000</f>
        <v>2.3892519970951347</v>
      </c>
      <c r="L6" s="176">
        <f t="shared" ref="L6:L37" si="7">L*J6/((Vout+Vfwd1)*Nps)*1000000</f>
        <v>1.46400244920045</v>
      </c>
      <c r="M6" s="451">
        <f>MIN(1/(K6+L6)*1000, 350)</f>
        <v>259.5208839534003</v>
      </c>
      <c r="N6" s="201">
        <f t="shared" ref="N6:N37" si="8">IF(1/((350000*L)*(1/D6+1/E6))&gt;Isw_min, 350, 0.001/((Isw_min*L)*(1/D6+1/E6)))</f>
        <v>350</v>
      </c>
      <c r="O6" s="221">
        <f t="shared" ref="O6:O37" si="9">1/((N6*1000*L)*(1/D6+1/E6))</f>
        <v>0.70864090316977857</v>
      </c>
      <c r="P6" s="177">
        <f t="shared" ref="P6:P37" si="10">L*O6/E6*1000000</f>
        <v>1.0855405992184108</v>
      </c>
      <c r="Q6" s="177">
        <f t="shared" ref="Q6:Q37" si="11">0.5*P6*O6*Nps*N6/1000</f>
        <v>0.16154427883809541</v>
      </c>
      <c r="R6" s="177">
        <f t="shared" ref="R6:R37" si="12">L*Isw_min/E6*1000000</f>
        <v>0.4595588235294118</v>
      </c>
    </row>
    <row r="7" spans="3:19" x14ac:dyDescent="0.25">
      <c r="C7" s="174">
        <v>1</v>
      </c>
      <c r="D7" s="5">
        <f t="shared" ref="D7:D38" si="13">C7/100*(VIN_max-VIN_min)+VIN_min</f>
        <v>12.36</v>
      </c>
      <c r="E7" s="451">
        <f t="shared" si="0"/>
        <v>19.584</v>
      </c>
      <c r="F7" s="221">
        <f t="shared" si="1"/>
        <v>0.61307287753568751</v>
      </c>
      <c r="G7" s="176">
        <f t="shared" si="2"/>
        <v>5.1148670172802415</v>
      </c>
      <c r="H7" s="221">
        <f t="shared" si="3"/>
        <v>0.31967918858001509</v>
      </c>
      <c r="I7" s="451">
        <f t="shared" si="4"/>
        <v>31.943999999999999</v>
      </c>
      <c r="J7" s="176">
        <f t="shared" si="5"/>
        <v>0.93844082041302679</v>
      </c>
      <c r="K7" s="176">
        <f t="shared" si="6"/>
        <v>2.2777689815850164</v>
      </c>
      <c r="L7" s="176">
        <f t="shared" si="7"/>
        <v>1.4375625312699554</v>
      </c>
      <c r="M7" s="451">
        <f t="shared" ref="M7:M70" si="14">MIN(1/(K7+L7)*1000, 350)</f>
        <v>269.1549856426056</v>
      </c>
      <c r="N7" s="201">
        <f t="shared" si="8"/>
        <v>350</v>
      </c>
      <c r="O7" s="221">
        <f t="shared" si="9"/>
        <v>0.72167435869915197</v>
      </c>
      <c r="P7" s="177">
        <f t="shared" si="10"/>
        <v>1.10550606418375</v>
      </c>
      <c r="Q7" s="177">
        <f t="shared" si="11"/>
        <v>0.16754122978064456</v>
      </c>
      <c r="R7" s="177">
        <f t="shared" si="12"/>
        <v>0.4595588235294118</v>
      </c>
    </row>
    <row r="8" spans="3:19" x14ac:dyDescent="0.25">
      <c r="C8" s="174">
        <v>2</v>
      </c>
      <c r="D8" s="5">
        <f t="shared" si="13"/>
        <v>12.72</v>
      </c>
      <c r="E8" s="451">
        <f t="shared" si="0"/>
        <v>19.584</v>
      </c>
      <c r="F8" s="221">
        <f t="shared" si="1"/>
        <v>0.60624071322436845</v>
      </c>
      <c r="G8" s="176">
        <f t="shared" si="2"/>
        <v>5.2051827637444283</v>
      </c>
      <c r="H8" s="221">
        <f t="shared" si="3"/>
        <v>0.32532392273402677</v>
      </c>
      <c r="I8" s="451">
        <f t="shared" si="4"/>
        <v>32.304000000000002</v>
      </c>
      <c r="J8" s="176">
        <f t="shared" si="5"/>
        <v>0.92215782189885054</v>
      </c>
      <c r="K8" s="176">
        <f t="shared" si="6"/>
        <v>2.1749005233463454</v>
      </c>
      <c r="L8" s="176">
        <f t="shared" si="7"/>
        <v>1.4126192124676018</v>
      </c>
      <c r="M8" s="451">
        <f t="shared" si="14"/>
        <v>278.74411115207903</v>
      </c>
      <c r="N8" s="201">
        <f t="shared" si="8"/>
        <v>350</v>
      </c>
      <c r="O8" s="221">
        <f t="shared" si="9"/>
        <v>0.73441732116323499</v>
      </c>
      <c r="P8" s="177">
        <f t="shared" si="10"/>
        <v>1.1250265336446617</v>
      </c>
      <c r="Q8" s="177">
        <f t="shared" si="11"/>
        <v>0.17351018434614321</v>
      </c>
      <c r="R8" s="177">
        <f t="shared" si="12"/>
        <v>0.4595588235294118</v>
      </c>
    </row>
    <row r="9" spans="3:19" x14ac:dyDescent="0.25">
      <c r="C9" s="174">
        <v>3</v>
      </c>
      <c r="D9" s="5">
        <f t="shared" si="13"/>
        <v>13.08</v>
      </c>
      <c r="E9" s="451">
        <f t="shared" si="0"/>
        <v>19.584</v>
      </c>
      <c r="F9" s="221">
        <f t="shared" si="1"/>
        <v>0.59955914768552532</v>
      </c>
      <c r="G9" s="176">
        <f t="shared" si="2"/>
        <v>5.2935077149155028</v>
      </c>
      <c r="H9" s="221">
        <f t="shared" si="3"/>
        <v>0.33084423218221892</v>
      </c>
      <c r="I9" s="451">
        <f t="shared" si="4"/>
        <v>32.664000000000001</v>
      </c>
      <c r="J9" s="176">
        <f t="shared" si="5"/>
        <v>0.90677113522949115</v>
      </c>
      <c r="K9" s="176">
        <f t="shared" si="6"/>
        <v>2.0797503101593833</v>
      </c>
      <c r="L9" s="176">
        <f t="shared" si="7"/>
        <v>1.3890489203883138</v>
      </c>
      <c r="M9" s="451">
        <f t="shared" si="14"/>
        <v>288.28419678878549</v>
      </c>
      <c r="N9" s="201">
        <f t="shared" si="8"/>
        <v>350</v>
      </c>
      <c r="O9" s="221">
        <f t="shared" si="9"/>
        <v>0.74687939540254</v>
      </c>
      <c r="P9" s="177">
        <f t="shared" si="10"/>
        <v>1.1441167208984988</v>
      </c>
      <c r="Q9" s="177">
        <f t="shared" si="11"/>
        <v>0.17944861300266754</v>
      </c>
      <c r="R9" s="177">
        <f t="shared" si="12"/>
        <v>0.4595588235294118</v>
      </c>
    </row>
    <row r="10" spans="3:19" x14ac:dyDescent="0.25">
      <c r="C10" s="174">
        <v>4</v>
      </c>
      <c r="D10" s="5">
        <f t="shared" si="13"/>
        <v>13.44</v>
      </c>
      <c r="E10" s="451">
        <f t="shared" si="0"/>
        <v>19.584</v>
      </c>
      <c r="F10" s="221">
        <f t="shared" si="1"/>
        <v>0.59302325581395343</v>
      </c>
      <c r="G10" s="176">
        <f t="shared" si="2"/>
        <v>5.3799069767441852</v>
      </c>
      <c r="H10" s="221">
        <f t="shared" si="3"/>
        <v>0.33624418604651157</v>
      </c>
      <c r="I10" s="451">
        <f t="shared" si="4"/>
        <v>33.024000000000001</v>
      </c>
      <c r="J10" s="176">
        <f t="shared" si="5"/>
        <v>0.89220873534599043</v>
      </c>
      <c r="K10" s="176">
        <f t="shared" si="6"/>
        <v>1.9915373556830147</v>
      </c>
      <c r="L10" s="176">
        <f t="shared" si="7"/>
        <v>1.3667413225275589</v>
      </c>
      <c r="M10" s="451">
        <f t="shared" si="14"/>
        <v>297.77159545700374</v>
      </c>
      <c r="N10" s="201">
        <f t="shared" si="8"/>
        <v>350</v>
      </c>
      <c r="O10" s="221">
        <f t="shared" si="9"/>
        <v>0.7590697674418605</v>
      </c>
      <c r="P10" s="177">
        <f t="shared" si="10"/>
        <v>1.1627906976744187</v>
      </c>
      <c r="Q10" s="177">
        <f t="shared" si="11"/>
        <v>0.18535424553812871</v>
      </c>
      <c r="R10" s="177">
        <f t="shared" si="12"/>
        <v>0.4595588235294118</v>
      </c>
    </row>
    <row r="11" spans="3:19" x14ac:dyDescent="0.25">
      <c r="C11" s="174">
        <v>5</v>
      </c>
      <c r="D11" s="5">
        <f t="shared" si="13"/>
        <v>13.8</v>
      </c>
      <c r="E11" s="451">
        <f t="shared" si="0"/>
        <v>19.584</v>
      </c>
      <c r="F11" s="221">
        <f t="shared" si="1"/>
        <v>0.58662832494608197</v>
      </c>
      <c r="G11" s="176">
        <f t="shared" si="2"/>
        <v>5.4644428468727542</v>
      </c>
      <c r="H11" s="221">
        <f t="shared" si="3"/>
        <v>0.34152767792954714</v>
      </c>
      <c r="I11" s="451">
        <f t="shared" si="4"/>
        <v>33.384</v>
      </c>
      <c r="J11" s="176">
        <f t="shared" si="5"/>
        <v>0.87840611284771553</v>
      </c>
      <c r="K11" s="176">
        <f t="shared" si="6"/>
        <v>1.9095785061906858</v>
      </c>
      <c r="L11" s="176">
        <f t="shared" si="7"/>
        <v>1.3455975993377995</v>
      </c>
      <c r="M11" s="451">
        <f t="shared" si="14"/>
        <v>307.20304142735398</v>
      </c>
      <c r="N11" s="201">
        <f t="shared" si="8"/>
        <v>350</v>
      </c>
      <c r="O11" s="221">
        <f t="shared" si="9"/>
        <v>0.77099722707199336</v>
      </c>
      <c r="P11" s="177">
        <f t="shared" si="10"/>
        <v>1.18106192872548</v>
      </c>
      <c r="Q11" s="177">
        <f t="shared" si="11"/>
        <v>0.19122504913000554</v>
      </c>
      <c r="R11" s="177">
        <f t="shared" si="12"/>
        <v>0.4595588235294118</v>
      </c>
    </row>
    <row r="12" spans="3:19" x14ac:dyDescent="0.25">
      <c r="C12" s="174">
        <v>6</v>
      </c>
      <c r="D12" s="5">
        <f t="shared" si="13"/>
        <v>14.16</v>
      </c>
      <c r="E12" s="451">
        <f t="shared" si="0"/>
        <v>19.584</v>
      </c>
      <c r="F12" s="221">
        <f t="shared" si="1"/>
        <v>0.58036984352773824</v>
      </c>
      <c r="G12" s="176">
        <f t="shared" si="2"/>
        <v>5.5471749644381223</v>
      </c>
      <c r="H12" s="221">
        <f t="shared" si="3"/>
        <v>0.34669843527738264</v>
      </c>
      <c r="I12" s="451">
        <f t="shared" si="4"/>
        <v>33.744</v>
      </c>
      <c r="J12" s="176">
        <f t="shared" si="5"/>
        <v>0.86530531861206506</v>
      </c>
      <c r="K12" s="176">
        <f t="shared" si="6"/>
        <v>1.8332739801103073</v>
      </c>
      <c r="L12" s="176">
        <f t="shared" si="7"/>
        <v>1.3255289807170114</v>
      </c>
      <c r="M12" s="451">
        <f t="shared" si="14"/>
        <v>316.57561816964079</v>
      </c>
      <c r="N12" s="201">
        <f t="shared" si="8"/>
        <v>350</v>
      </c>
      <c r="O12" s="221">
        <f t="shared" si="9"/>
        <v>0.78267018898597851</v>
      </c>
      <c r="P12" s="177">
        <f t="shared" si="10"/>
        <v>1.1989433042064621</v>
      </c>
      <c r="Q12" s="177">
        <f t="shared" si="11"/>
        <v>0.19705920832221652</v>
      </c>
      <c r="R12" s="177">
        <f t="shared" si="12"/>
        <v>0.4595588235294118</v>
      </c>
    </row>
    <row r="13" spans="3:19" x14ac:dyDescent="0.25">
      <c r="C13" s="174">
        <v>7</v>
      </c>
      <c r="D13" s="5">
        <f t="shared" si="13"/>
        <v>14.52</v>
      </c>
      <c r="E13" s="451">
        <f t="shared" si="0"/>
        <v>19.584</v>
      </c>
      <c r="F13" s="221">
        <f t="shared" si="1"/>
        <v>0.57424349049964818</v>
      </c>
      <c r="G13" s="176">
        <f t="shared" si="2"/>
        <v>5.6281604503870506</v>
      </c>
      <c r="H13" s="221">
        <f t="shared" si="3"/>
        <v>0.35176002814919066</v>
      </c>
      <c r="I13" s="451">
        <f t="shared" si="4"/>
        <v>34.103999999999999</v>
      </c>
      <c r="J13" s="176">
        <f t="shared" si="5"/>
        <v>0.85285415053685998</v>
      </c>
      <c r="K13" s="176">
        <f t="shared" si="6"/>
        <v>1.7620953523488845</v>
      </c>
      <c r="L13" s="176">
        <f t="shared" si="7"/>
        <v>1.306455500209651</v>
      </c>
      <c r="M13" s="451">
        <f t="shared" si="14"/>
        <v>325.8867289640018</v>
      </c>
      <c r="N13" s="201">
        <f t="shared" si="8"/>
        <v>350</v>
      </c>
      <c r="O13" s="221">
        <f t="shared" si="9"/>
        <v>0.79409671257665637</v>
      </c>
      <c r="P13" s="177">
        <f t="shared" si="10"/>
        <v>1.2164471700010056</v>
      </c>
      <c r="Q13" s="177">
        <f t="shared" si="11"/>
        <v>0.20285510673140486</v>
      </c>
      <c r="R13" s="177">
        <f t="shared" si="12"/>
        <v>0.4595588235294118</v>
      </c>
    </row>
    <row r="14" spans="3:19" s="77" customFormat="1" x14ac:dyDescent="0.25">
      <c r="C14" s="193">
        <v>8</v>
      </c>
      <c r="D14" s="544">
        <f t="shared" si="13"/>
        <v>14.879999999999999</v>
      </c>
      <c r="E14" s="545">
        <f t="shared" si="0"/>
        <v>19.584</v>
      </c>
      <c r="F14" s="333">
        <f t="shared" si="1"/>
        <v>0.56824512534818938</v>
      </c>
      <c r="G14" s="546">
        <f t="shared" si="2"/>
        <v>5.7074540389972146</v>
      </c>
      <c r="H14" s="333">
        <f t="shared" si="3"/>
        <v>0.35671587743732591</v>
      </c>
      <c r="I14" s="545">
        <f t="shared" si="4"/>
        <v>34.463999999999999</v>
      </c>
      <c r="J14" s="176">
        <f t="shared" si="5"/>
        <v>0.84100545833626172</v>
      </c>
      <c r="K14" s="546">
        <f t="shared" si="6"/>
        <v>1.6955755208392373</v>
      </c>
      <c r="L14" s="546">
        <f t="shared" si="7"/>
        <v>1.2883049300494205</v>
      </c>
      <c r="M14" s="545">
        <f t="shared" si="14"/>
        <v>335.1340700335968</v>
      </c>
      <c r="N14" s="547">
        <f t="shared" si="8"/>
        <v>350</v>
      </c>
      <c r="O14" s="333">
        <f t="shared" si="9"/>
        <v>0.80528452049343402</v>
      </c>
      <c r="P14" s="177">
        <f t="shared" si="10"/>
        <v>1.2335853561480299</v>
      </c>
      <c r="Q14" s="548">
        <f t="shared" si="11"/>
        <v>0.20861131032281155</v>
      </c>
      <c r="R14" s="177">
        <f t="shared" si="12"/>
        <v>0.4595588235294118</v>
      </c>
    </row>
    <row r="15" spans="3:19" x14ac:dyDescent="0.25">
      <c r="C15" s="174">
        <v>9</v>
      </c>
      <c r="D15" s="5">
        <f t="shared" si="13"/>
        <v>15.24</v>
      </c>
      <c r="E15" s="451">
        <f t="shared" si="0"/>
        <v>19.584</v>
      </c>
      <c r="F15" s="221">
        <f t="shared" si="1"/>
        <v>0.56237077877325981</v>
      </c>
      <c r="G15" s="176">
        <f t="shared" si="2"/>
        <v>5.7851082012405239</v>
      </c>
      <c r="H15" s="221">
        <f t="shared" si="3"/>
        <v>0.36156926257753275</v>
      </c>
      <c r="I15" s="451">
        <f t="shared" si="4"/>
        <v>34.823999999999998</v>
      </c>
      <c r="J15" s="176">
        <f t="shared" si="5"/>
        <v>0.82971654686954976</v>
      </c>
      <c r="K15" s="176">
        <f t="shared" si="6"/>
        <v>1.6333002891132871</v>
      </c>
      <c r="L15" s="176">
        <f t="shared" si="7"/>
        <v>1.2710118671408546</v>
      </c>
      <c r="M15" s="451">
        <f t="shared" si="14"/>
        <v>344.31560596769924</v>
      </c>
      <c r="N15" s="201">
        <f t="shared" si="8"/>
        <v>350</v>
      </c>
      <c r="O15" s="221">
        <f t="shared" si="9"/>
        <v>0.81624101604804566</v>
      </c>
      <c r="P15" s="177">
        <f t="shared" si="10"/>
        <v>1.250369203504972</v>
      </c>
      <c r="Q15" s="177">
        <f t="shared" si="11"/>
        <v>0.21432655211185761</v>
      </c>
      <c r="R15" s="177">
        <f t="shared" si="12"/>
        <v>0.4595588235294118</v>
      </c>
    </row>
    <row r="16" spans="3:19" x14ac:dyDescent="0.25">
      <c r="C16" s="174">
        <v>10</v>
      </c>
      <c r="D16" s="5">
        <f t="shared" si="13"/>
        <v>15.6</v>
      </c>
      <c r="E16" s="451">
        <f t="shared" si="0"/>
        <v>19.584</v>
      </c>
      <c r="F16" s="221">
        <f t="shared" si="1"/>
        <v>0.55661664392905874</v>
      </c>
      <c r="G16" s="176">
        <f t="shared" si="2"/>
        <v>5.8611732605729889</v>
      </c>
      <c r="H16" s="221">
        <f t="shared" si="3"/>
        <v>0.36632332878581181</v>
      </c>
      <c r="I16" s="451">
        <f t="shared" si="4"/>
        <v>35.183999999999997</v>
      </c>
      <c r="J16" s="176">
        <f t="shared" si="5"/>
        <v>0.81894866208591699</v>
      </c>
      <c r="K16" s="176">
        <f t="shared" si="6"/>
        <v>1.5749012732421481</v>
      </c>
      <c r="L16" s="176">
        <f t="shared" si="7"/>
        <v>1.2545169455972995</v>
      </c>
      <c r="M16" s="451">
        <f t="shared" si="14"/>
        <v>350</v>
      </c>
      <c r="N16" s="201">
        <f t="shared" si="8"/>
        <v>350</v>
      </c>
      <c r="O16" s="221">
        <f t="shared" si="9"/>
        <v>0.82697329955174426</v>
      </c>
      <c r="P16" s="177">
        <f t="shared" si="10"/>
        <v>1.2668095887741182</v>
      </c>
      <c r="Q16" s="177">
        <f t="shared" si="11"/>
        <v>0.21999971816178737</v>
      </c>
      <c r="R16" s="177">
        <f t="shared" si="12"/>
        <v>0.4595588235294118</v>
      </c>
    </row>
    <row r="17" spans="3:18" x14ac:dyDescent="0.25">
      <c r="C17" s="174">
        <v>11</v>
      </c>
      <c r="D17" s="5">
        <f t="shared" si="13"/>
        <v>15.96</v>
      </c>
      <c r="E17" s="451">
        <f t="shared" si="0"/>
        <v>19.584</v>
      </c>
      <c r="F17" s="221">
        <f t="shared" si="1"/>
        <v>0.55097906819716413</v>
      </c>
      <c r="G17" s="176">
        <f t="shared" si="2"/>
        <v>5.9356975016880495</v>
      </c>
      <c r="H17" s="221">
        <f t="shared" si="3"/>
        <v>0.3709810938555031</v>
      </c>
      <c r="I17" s="451">
        <f t="shared" si="4"/>
        <v>35.543999999999997</v>
      </c>
      <c r="J17" s="176">
        <f t="shared" si="5"/>
        <v>0.80866654654064341</v>
      </c>
      <c r="K17" s="176">
        <f t="shared" si="6"/>
        <v>1.5200498995124874</v>
      </c>
      <c r="L17" s="176">
        <f t="shared" si="7"/>
        <v>1.2387661558527014</v>
      </c>
      <c r="M17" s="451">
        <f t="shared" si="14"/>
        <v>350</v>
      </c>
      <c r="N17" s="201">
        <f t="shared" si="8"/>
        <v>350</v>
      </c>
      <c r="O17" s="221">
        <f t="shared" si="9"/>
        <v>0.83748818365968936</v>
      </c>
      <c r="P17" s="177">
        <f t="shared" si="10"/>
        <v>1.2829169480081026</v>
      </c>
      <c r="Q17" s="177">
        <f t="shared" si="11"/>
        <v>0.22562983476044296</v>
      </c>
      <c r="R17" s="177">
        <f t="shared" si="12"/>
        <v>0.4595588235294118</v>
      </c>
    </row>
    <row r="18" spans="3:18" x14ac:dyDescent="0.25">
      <c r="C18" s="174">
        <v>12</v>
      </c>
      <c r="D18" s="5">
        <f t="shared" si="13"/>
        <v>16.32</v>
      </c>
      <c r="E18" s="451">
        <f t="shared" si="0"/>
        <v>19.584</v>
      </c>
      <c r="F18" s="221">
        <f t="shared" si="1"/>
        <v>0.54545454545454553</v>
      </c>
      <c r="G18" s="176">
        <f t="shared" si="2"/>
        <v>6.0087272727272731</v>
      </c>
      <c r="H18" s="221">
        <f t="shared" si="3"/>
        <v>0.37554545454545457</v>
      </c>
      <c r="I18" s="451">
        <f t="shared" si="4"/>
        <v>35.903999999999996</v>
      </c>
      <c r="J18" s="176">
        <f t="shared" si="5"/>
        <v>0.79883805374001449</v>
      </c>
      <c r="K18" s="176">
        <f t="shared" si="6"/>
        <v>1.4684523046691444</v>
      </c>
      <c r="L18" s="176">
        <f t="shared" si="7"/>
        <v>1.2237102538909537</v>
      </c>
      <c r="M18" s="451">
        <f t="shared" si="14"/>
        <v>350</v>
      </c>
      <c r="N18" s="201">
        <f t="shared" si="8"/>
        <v>350</v>
      </c>
      <c r="O18" s="221">
        <f t="shared" si="9"/>
        <v>0.84779220779220787</v>
      </c>
      <c r="P18" s="177">
        <f t="shared" si="10"/>
        <v>1.2987012987012989</v>
      </c>
      <c r="Q18" s="177">
        <f t="shared" si="11"/>
        <v>0.23121605667060216</v>
      </c>
      <c r="R18" s="177">
        <f t="shared" si="12"/>
        <v>0.4595588235294118</v>
      </c>
    </row>
    <row r="19" spans="3:18" x14ac:dyDescent="0.25">
      <c r="C19" s="174">
        <v>13</v>
      </c>
      <c r="D19" s="5">
        <f t="shared" si="13"/>
        <v>16.68</v>
      </c>
      <c r="E19" s="451">
        <f t="shared" si="0"/>
        <v>19.584</v>
      </c>
      <c r="F19" s="221">
        <f t="shared" si="1"/>
        <v>0.54003970880211782</v>
      </c>
      <c r="G19" s="176">
        <f t="shared" si="2"/>
        <v>6.0803070814030447</v>
      </c>
      <c r="H19" s="221">
        <f t="shared" si="3"/>
        <v>0.38001919258769029</v>
      </c>
      <c r="I19" s="451">
        <f t="shared" si="4"/>
        <v>36.263999999999996</v>
      </c>
      <c r="J19" s="176">
        <f t="shared" si="5"/>
        <v>0.78943381242718236</v>
      </c>
      <c r="K19" s="176">
        <f t="shared" si="6"/>
        <v>1.4198449863798244</v>
      </c>
      <c r="L19" s="176">
        <f t="shared" si="7"/>
        <v>1.2093042469779143</v>
      </c>
      <c r="M19" s="451">
        <f t="shared" si="14"/>
        <v>350</v>
      </c>
      <c r="N19" s="201">
        <f t="shared" si="8"/>
        <v>350</v>
      </c>
      <c r="O19" s="221">
        <f t="shared" si="9"/>
        <v>0.85789165169707848</v>
      </c>
      <c r="P19" s="177">
        <f t="shared" si="10"/>
        <v>1.3141722605653776</v>
      </c>
      <c r="Q19" s="177">
        <f t="shared" si="11"/>
        <v>0.23675765635849219</v>
      </c>
      <c r="R19" s="177">
        <f t="shared" si="12"/>
        <v>0.4595588235294118</v>
      </c>
    </row>
    <row r="20" spans="3:18" x14ac:dyDescent="0.25">
      <c r="C20" s="174">
        <v>14</v>
      </c>
      <c r="D20" s="5">
        <f t="shared" si="13"/>
        <v>17.04</v>
      </c>
      <c r="E20" s="451">
        <f t="shared" si="0"/>
        <v>19.584</v>
      </c>
      <c r="F20" s="221">
        <f t="shared" si="1"/>
        <v>0.53473132372214949</v>
      </c>
      <c r="G20" s="176">
        <f t="shared" si="2"/>
        <v>6.1504796854521633</v>
      </c>
      <c r="H20" s="221">
        <f t="shared" si="3"/>
        <v>0.38440498034076021</v>
      </c>
      <c r="I20" s="451">
        <f t="shared" si="4"/>
        <v>36.623999999999995</v>
      </c>
      <c r="J20" s="176">
        <f t="shared" si="5"/>
        <v>0.78042693342334313</v>
      </c>
      <c r="K20" s="176">
        <f t="shared" si="6"/>
        <v>1.3739910799706747</v>
      </c>
      <c r="L20" s="176">
        <f t="shared" si="7"/>
        <v>1.1955069445823272</v>
      </c>
      <c r="M20" s="451">
        <f t="shared" si="14"/>
        <v>350</v>
      </c>
      <c r="N20" s="201">
        <f t="shared" si="8"/>
        <v>350</v>
      </c>
      <c r="O20" s="221">
        <f t="shared" si="9"/>
        <v>0.8677925482119454</v>
      </c>
      <c r="P20" s="177">
        <f t="shared" si="10"/>
        <v>1.3293390750795733</v>
      </c>
      <c r="Q20" s="177">
        <f t="shared" si="11"/>
        <v>0.2422540141142128</v>
      </c>
      <c r="R20" s="177">
        <f t="shared" si="12"/>
        <v>0.4595588235294118</v>
      </c>
    </row>
    <row r="21" spans="3:18" x14ac:dyDescent="0.25">
      <c r="C21" s="174">
        <v>15</v>
      </c>
      <c r="D21" s="5">
        <f t="shared" si="13"/>
        <v>17.399999999999999</v>
      </c>
      <c r="E21" s="451">
        <f t="shared" si="0"/>
        <v>19.584</v>
      </c>
      <c r="F21" s="221">
        <f t="shared" si="1"/>
        <v>0.5295262816353018</v>
      </c>
      <c r="G21" s="176">
        <f t="shared" si="2"/>
        <v>6.2192861778066195</v>
      </c>
      <c r="H21" s="221">
        <f t="shared" si="3"/>
        <v>0.38870538611291372</v>
      </c>
      <c r="I21" s="451">
        <f t="shared" si="4"/>
        <v>36.983999999999995</v>
      </c>
      <c r="J21" s="176">
        <f t="shared" si="5"/>
        <v>0.77179275286104232</v>
      </c>
      <c r="K21" s="176">
        <f t="shared" si="6"/>
        <v>1.3306771601052456</v>
      </c>
      <c r="L21" s="176">
        <f t="shared" si="7"/>
        <v>1.182280565044489</v>
      </c>
      <c r="M21" s="451">
        <f t="shared" si="14"/>
        <v>350</v>
      </c>
      <c r="N21" s="201">
        <f t="shared" si="8"/>
        <v>350</v>
      </c>
      <c r="O21" s="221">
        <f t="shared" si="9"/>
        <v>0.87750069528135721</v>
      </c>
      <c r="P21" s="177">
        <f t="shared" si="10"/>
        <v>1.3442106238991378</v>
      </c>
      <c r="Q21" s="177">
        <f t="shared" si="11"/>
        <v>0.24770460898597688</v>
      </c>
      <c r="R21" s="177">
        <f t="shared" si="12"/>
        <v>0.4595588235294118</v>
      </c>
    </row>
    <row r="22" spans="3:18" s="3" customFormat="1" ht="13" x14ac:dyDescent="0.3">
      <c r="C22" s="337">
        <v>16</v>
      </c>
      <c r="D22" s="540">
        <f t="shared" si="13"/>
        <v>17.759999999999998</v>
      </c>
      <c r="E22" s="541">
        <f t="shared" si="0"/>
        <v>19.584</v>
      </c>
      <c r="F22" s="542">
        <f t="shared" si="1"/>
        <v>0.52442159383033427</v>
      </c>
      <c r="G22" s="336">
        <f t="shared" si="2"/>
        <v>6.2867660668380463</v>
      </c>
      <c r="H22" s="542">
        <f t="shared" si="3"/>
        <v>0.39292287917737789</v>
      </c>
      <c r="I22" s="541">
        <f t="shared" si="4"/>
        <v>37.343999999999994</v>
      </c>
      <c r="J22" s="176">
        <f t="shared" si="5"/>
        <v>0.76350860664586151</v>
      </c>
      <c r="K22" s="336">
        <f t="shared" si="6"/>
        <v>1.2897104841990905</v>
      </c>
      <c r="L22" s="336">
        <f t="shared" si="7"/>
        <v>1.1695903900825084</v>
      </c>
      <c r="M22" s="541">
        <f t="shared" si="14"/>
        <v>350</v>
      </c>
      <c r="N22" s="339">
        <f t="shared" si="8"/>
        <v>350</v>
      </c>
      <c r="O22" s="542">
        <f t="shared" si="9"/>
        <v>0.88702166727873666</v>
      </c>
      <c r="P22" s="177">
        <f t="shared" si="10"/>
        <v>1.3587954461990452</v>
      </c>
      <c r="Q22" s="549">
        <f t="shared" si="11"/>
        <v>0.25310901045742873</v>
      </c>
      <c r="R22" s="177">
        <f t="shared" si="12"/>
        <v>0.4595588235294118</v>
      </c>
    </row>
    <row r="23" spans="3:18" x14ac:dyDescent="0.25">
      <c r="C23" s="174">
        <v>17</v>
      </c>
      <c r="D23" s="5">
        <f t="shared" si="13"/>
        <v>18.12</v>
      </c>
      <c r="E23" s="451">
        <f t="shared" si="0"/>
        <v>19.584</v>
      </c>
      <c r="F23" s="221">
        <f t="shared" si="1"/>
        <v>0.51941438574156584</v>
      </c>
      <c r="G23" s="176">
        <f t="shared" si="2"/>
        <v>6.3529573520050917</v>
      </c>
      <c r="H23" s="221">
        <f t="shared" si="3"/>
        <v>0.39705983450031823</v>
      </c>
      <c r="I23" s="451">
        <f t="shared" si="4"/>
        <v>37.704000000000001</v>
      </c>
      <c r="J23" s="176">
        <f t="shared" si="5"/>
        <v>0.75555363180346957</v>
      </c>
      <c r="K23" s="176">
        <f t="shared" si="6"/>
        <v>1.2509166089461417</v>
      </c>
      <c r="L23" s="176">
        <f t="shared" si="7"/>
        <v>1.1574044604832563</v>
      </c>
      <c r="M23" s="451">
        <f t="shared" si="14"/>
        <v>350</v>
      </c>
      <c r="N23" s="201">
        <f t="shared" si="8"/>
        <v>350</v>
      </c>
      <c r="O23" s="221">
        <f t="shared" si="9"/>
        <v>0.89636082567973085</v>
      </c>
      <c r="P23" s="177">
        <f t="shared" si="10"/>
        <v>1.3731017550240974</v>
      </c>
      <c r="Q23" s="177">
        <f t="shared" si="11"/>
        <v>0.2584668708038943</v>
      </c>
      <c r="R23" s="177">
        <f t="shared" si="12"/>
        <v>0.4595588235294118</v>
      </c>
    </row>
    <row r="24" spans="3:18" x14ac:dyDescent="0.25">
      <c r="C24" s="174">
        <v>18</v>
      </c>
      <c r="D24" s="5">
        <f t="shared" si="13"/>
        <v>18.48</v>
      </c>
      <c r="E24" s="451">
        <f t="shared" si="0"/>
        <v>19.584</v>
      </c>
      <c r="F24" s="221">
        <f t="shared" si="1"/>
        <v>0.51450189155107184</v>
      </c>
      <c r="G24" s="176">
        <f t="shared" si="2"/>
        <v>6.4178965952080702</v>
      </c>
      <c r="H24" s="221">
        <f t="shared" si="3"/>
        <v>0.40111853720050439</v>
      </c>
      <c r="I24" s="451">
        <f t="shared" si="4"/>
        <v>38.064</v>
      </c>
      <c r="J24" s="176">
        <f t="shared" si="5"/>
        <v>0.74790859104584606</v>
      </c>
      <c r="K24" s="176">
        <f t="shared" si="6"/>
        <v>1.2141373231263735</v>
      </c>
      <c r="L24" s="176">
        <f t="shared" si="7"/>
        <v>1.1456933073618967</v>
      </c>
      <c r="M24" s="451">
        <f t="shared" si="14"/>
        <v>350</v>
      </c>
      <c r="N24" s="201">
        <f t="shared" si="8"/>
        <v>350</v>
      </c>
      <c r="O24" s="221">
        <f t="shared" si="9"/>
        <v>0.90552332912988653</v>
      </c>
      <c r="P24" s="177">
        <f t="shared" si="10"/>
        <v>1.3871374527112235</v>
      </c>
      <c r="Q24" s="177">
        <f t="shared" si="11"/>
        <v>0.26377791806936168</v>
      </c>
      <c r="R24" s="177">
        <f t="shared" si="12"/>
        <v>0.4595588235294118</v>
      </c>
    </row>
    <row r="25" spans="3:18" x14ac:dyDescent="0.25">
      <c r="C25" s="174">
        <v>19</v>
      </c>
      <c r="D25" s="5">
        <f t="shared" si="13"/>
        <v>18.84</v>
      </c>
      <c r="E25" s="451">
        <f t="shared" si="0"/>
        <v>19.584</v>
      </c>
      <c r="F25" s="221">
        <f t="shared" si="1"/>
        <v>0.50968144909431601</v>
      </c>
      <c r="G25" s="176">
        <f t="shared" si="2"/>
        <v>6.4816189881324169</v>
      </c>
      <c r="H25" s="221">
        <f t="shared" si="3"/>
        <v>0.40510118675827606</v>
      </c>
      <c r="I25" s="451">
        <f t="shared" si="4"/>
        <v>38.423999999999999</v>
      </c>
      <c r="J25" s="176">
        <f t="shared" si="5"/>
        <v>0.74055571745093429</v>
      </c>
      <c r="K25" s="176">
        <f t="shared" si="6"/>
        <v>1.179228849444163</v>
      </c>
      <c r="L25" s="176">
        <f t="shared" si="7"/>
        <v>1.1344297142324362</v>
      </c>
      <c r="M25" s="451">
        <f t="shared" si="14"/>
        <v>350</v>
      </c>
      <c r="N25" s="201">
        <f t="shared" si="8"/>
        <v>350</v>
      </c>
      <c r="O25" s="221">
        <f t="shared" si="9"/>
        <v>0.91451414294637279</v>
      </c>
      <c r="P25" s="177">
        <f t="shared" si="10"/>
        <v>1.4009101454448114</v>
      </c>
      <c r="Q25" s="177">
        <f t="shared" si="11"/>
        <v>0.26904194961133149</v>
      </c>
      <c r="R25" s="177">
        <f t="shared" si="12"/>
        <v>0.4595588235294118</v>
      </c>
    </row>
    <row r="26" spans="3:18" x14ac:dyDescent="0.25">
      <c r="C26" s="174">
        <v>20</v>
      </c>
      <c r="D26" s="5">
        <f t="shared" si="13"/>
        <v>19.2</v>
      </c>
      <c r="E26" s="451">
        <f t="shared" si="0"/>
        <v>19.584</v>
      </c>
      <c r="F26" s="221">
        <f t="shared" si="1"/>
        <v>0.50495049504950495</v>
      </c>
      <c r="G26" s="176">
        <f t="shared" si="2"/>
        <v>6.5441584158415838</v>
      </c>
      <c r="H26" s="221">
        <f t="shared" si="3"/>
        <v>0.40900990099009898</v>
      </c>
      <c r="I26" s="451">
        <f t="shared" si="4"/>
        <v>38.783999999999999</v>
      </c>
      <c r="J26" s="176">
        <f t="shared" si="5"/>
        <v>0.73347857661583149</v>
      </c>
      <c r="K26" s="176">
        <f t="shared" si="6"/>
        <v>1.1460602759622367</v>
      </c>
      <c r="L26" s="176">
        <f t="shared" si="7"/>
        <v>1.1235885058453301</v>
      </c>
      <c r="M26" s="451">
        <f t="shared" si="14"/>
        <v>350</v>
      </c>
      <c r="N26" s="201">
        <f t="shared" si="8"/>
        <v>350</v>
      </c>
      <c r="O26" s="221">
        <f t="shared" si="9"/>
        <v>0.92333804809052333</v>
      </c>
      <c r="P26" s="177">
        <f t="shared" si="10"/>
        <v>1.4144271570014144</v>
      </c>
      <c r="Q26" s="177">
        <f t="shared" si="11"/>
        <v>0.27425882616550196</v>
      </c>
      <c r="R26" s="177">
        <f t="shared" si="12"/>
        <v>0.4595588235294118</v>
      </c>
    </row>
    <row r="27" spans="3:18" x14ac:dyDescent="0.25">
      <c r="C27" s="174">
        <v>21</v>
      </c>
      <c r="D27" s="5">
        <f t="shared" si="13"/>
        <v>19.559999999999999</v>
      </c>
      <c r="E27" s="451">
        <f t="shared" si="0"/>
        <v>19.584</v>
      </c>
      <c r="F27" s="221">
        <f t="shared" si="1"/>
        <v>0.50030656039239729</v>
      </c>
      <c r="G27" s="176">
        <f t="shared" si="2"/>
        <v>6.6055475168608204</v>
      </c>
      <c r="H27" s="221">
        <f t="shared" si="3"/>
        <v>0.41284671980380128</v>
      </c>
      <c r="I27" s="451">
        <f t="shared" si="4"/>
        <v>39.143999999999998</v>
      </c>
      <c r="J27" s="176">
        <f t="shared" si="5"/>
        <v>0.72666194403232787</v>
      </c>
      <c r="K27" s="176">
        <f t="shared" si="6"/>
        <v>1.1145121840986625</v>
      </c>
      <c r="L27" s="176">
        <f t="shared" si="7"/>
        <v>1.1131463603436396</v>
      </c>
      <c r="M27" s="451">
        <f t="shared" si="14"/>
        <v>350</v>
      </c>
      <c r="N27" s="201">
        <f t="shared" si="8"/>
        <v>350</v>
      </c>
      <c r="O27" s="221">
        <f t="shared" si="9"/>
        <v>0.93199964964526583</v>
      </c>
      <c r="P27" s="177">
        <f t="shared" si="10"/>
        <v>1.4276955417360075</v>
      </c>
      <c r="Q27" s="177">
        <f t="shared" si="11"/>
        <v>0.27942846638659402</v>
      </c>
      <c r="R27" s="177">
        <f t="shared" si="12"/>
        <v>0.4595588235294118</v>
      </c>
    </row>
    <row r="28" spans="3:18" x14ac:dyDescent="0.25">
      <c r="C28" s="174">
        <v>22</v>
      </c>
      <c r="D28" s="5">
        <f t="shared" si="13"/>
        <v>19.920000000000002</v>
      </c>
      <c r="E28" s="451">
        <f t="shared" si="0"/>
        <v>19.584</v>
      </c>
      <c r="F28" s="221">
        <f t="shared" si="1"/>
        <v>0.49574726609963543</v>
      </c>
      <c r="G28" s="176">
        <f t="shared" si="2"/>
        <v>6.6658177399756982</v>
      </c>
      <c r="H28" s="221">
        <f t="shared" si="3"/>
        <v>0.41661360874848113</v>
      </c>
      <c r="I28" s="451">
        <f t="shared" si="4"/>
        <v>39.504000000000005</v>
      </c>
      <c r="J28" s="176">
        <f t="shared" si="5"/>
        <v>0.72009169575907128</v>
      </c>
      <c r="K28" s="176">
        <f t="shared" si="6"/>
        <v>1.0844754454202881</v>
      </c>
      <c r="L28" s="176">
        <f t="shared" si="7"/>
        <v>1.1030816417877931</v>
      </c>
      <c r="M28" s="451">
        <f t="shared" si="14"/>
        <v>350</v>
      </c>
      <c r="N28" s="201">
        <f t="shared" si="8"/>
        <v>350</v>
      </c>
      <c r="O28" s="221">
        <f t="shared" si="9"/>
        <v>0.94050338482902285</v>
      </c>
      <c r="P28" s="177">
        <f t="shared" si="10"/>
        <v>1.4407220968581846</v>
      </c>
      <c r="Q28" s="177">
        <f t="shared" si="11"/>
        <v>0.28455084182554885</v>
      </c>
      <c r="R28" s="177">
        <f t="shared" si="12"/>
        <v>0.4595588235294118</v>
      </c>
    </row>
    <row r="29" spans="3:18" x14ac:dyDescent="0.25">
      <c r="C29" s="174">
        <v>23</v>
      </c>
      <c r="D29" s="5">
        <f t="shared" si="13"/>
        <v>20.28</v>
      </c>
      <c r="E29" s="451">
        <f t="shared" si="0"/>
        <v>19.584</v>
      </c>
      <c r="F29" s="221">
        <f t="shared" si="1"/>
        <v>0.49127031908488855</v>
      </c>
      <c r="G29" s="176">
        <f t="shared" si="2"/>
        <v>6.7249993979530398</v>
      </c>
      <c r="H29" s="221">
        <f t="shared" si="3"/>
        <v>0.42031246237206499</v>
      </c>
      <c r="I29" s="451">
        <f t="shared" si="4"/>
        <v>39.864000000000004</v>
      </c>
      <c r="J29" s="176">
        <f t="shared" si="5"/>
        <v>0.71375471073811958</v>
      </c>
      <c r="K29" s="176">
        <f t="shared" si="6"/>
        <v>1.0558501638137863</v>
      </c>
      <c r="L29" s="176">
        <f t="shared" si="7"/>
        <v>1.0933742505179527</v>
      </c>
      <c r="M29" s="451">
        <f t="shared" si="14"/>
        <v>350</v>
      </c>
      <c r="N29" s="201">
        <f t="shared" si="8"/>
        <v>350</v>
      </c>
      <c r="O29" s="221">
        <f t="shared" si="9"/>
        <v>0.94885353057538502</v>
      </c>
      <c r="P29" s="177">
        <f t="shared" si="10"/>
        <v>1.4535133740431756</v>
      </c>
      <c r="Q29" s="177">
        <f t="shared" si="11"/>
        <v>0.28962597230687553</v>
      </c>
      <c r="R29" s="177">
        <f t="shared" si="12"/>
        <v>0.4595588235294118</v>
      </c>
    </row>
    <row r="30" spans="3:18" x14ac:dyDescent="0.25">
      <c r="C30" s="174">
        <v>24</v>
      </c>
      <c r="D30" s="5">
        <f t="shared" si="13"/>
        <v>20.64</v>
      </c>
      <c r="E30" s="451">
        <f t="shared" si="0"/>
        <v>19.584</v>
      </c>
      <c r="F30" s="221">
        <f t="shared" si="1"/>
        <v>0.48687350835322191</v>
      </c>
      <c r="G30" s="176">
        <f t="shared" si="2"/>
        <v>6.783121718377088</v>
      </c>
      <c r="H30" s="221">
        <f t="shared" si="3"/>
        <v>0.423945107398568</v>
      </c>
      <c r="I30" s="451">
        <f t="shared" si="4"/>
        <v>40.224000000000004</v>
      </c>
      <c r="J30" s="176">
        <f t="shared" si="5"/>
        <v>0.70763878333417785</v>
      </c>
      <c r="K30" s="176">
        <f t="shared" si="6"/>
        <v>1.0285447432182819</v>
      </c>
      <c r="L30" s="176">
        <f t="shared" si="7"/>
        <v>1.0840054891761304</v>
      </c>
      <c r="M30" s="451">
        <f t="shared" si="14"/>
        <v>350</v>
      </c>
      <c r="N30" s="201">
        <f t="shared" si="8"/>
        <v>350</v>
      </c>
      <c r="O30" s="221">
        <f t="shared" si="9"/>
        <v>0.95705421070576224</v>
      </c>
      <c r="P30" s="177">
        <f t="shared" si="10"/>
        <v>1.4660756904193661</v>
      </c>
      <c r="Q30" s="177">
        <f t="shared" si="11"/>
        <v>0.29465392167313442</v>
      </c>
      <c r="R30" s="177">
        <f t="shared" si="12"/>
        <v>0.4595588235294118</v>
      </c>
    </row>
    <row r="31" spans="3:18" x14ac:dyDescent="0.25">
      <c r="C31" s="174">
        <v>25</v>
      </c>
      <c r="D31" s="5">
        <f t="shared" si="13"/>
        <v>21</v>
      </c>
      <c r="E31" s="451">
        <f t="shared" si="0"/>
        <v>19.584</v>
      </c>
      <c r="F31" s="221">
        <f t="shared" si="1"/>
        <v>0.48255470136014189</v>
      </c>
      <c r="G31" s="176">
        <f t="shared" si="2"/>
        <v>6.8402128917800109</v>
      </c>
      <c r="H31" s="221">
        <f t="shared" si="3"/>
        <v>0.42751330573625068</v>
      </c>
      <c r="I31" s="451">
        <f t="shared" si="4"/>
        <v>40.584000000000003</v>
      </c>
      <c r="J31" s="176">
        <f t="shared" si="5"/>
        <v>0.70173254486979975</v>
      </c>
      <c r="K31" s="176">
        <f t="shared" si="6"/>
        <v>1.002475064099714</v>
      </c>
      <c r="L31" s="176">
        <f t="shared" si="7"/>
        <v>1.0749579425088844</v>
      </c>
      <c r="M31" s="451">
        <f t="shared" si="14"/>
        <v>350</v>
      </c>
      <c r="N31" s="201">
        <f t="shared" si="8"/>
        <v>350</v>
      </c>
      <c r="O31" s="221">
        <f t="shared" si="9"/>
        <v>0.96510940272028389</v>
      </c>
      <c r="P31" s="177">
        <f t="shared" si="10"/>
        <v>1.4784151389710234</v>
      </c>
      <c r="Q31" s="177">
        <f t="shared" si="11"/>
        <v>0.29963479386643949</v>
      </c>
      <c r="R31" s="177">
        <f t="shared" si="12"/>
        <v>0.4595588235294118</v>
      </c>
    </row>
    <row r="32" spans="3:18" x14ac:dyDescent="0.25">
      <c r="C32" s="174">
        <v>26</v>
      </c>
      <c r="D32" s="5">
        <f t="shared" si="13"/>
        <v>21.36</v>
      </c>
      <c r="E32" s="451">
        <f t="shared" si="0"/>
        <v>19.584</v>
      </c>
      <c r="F32" s="221">
        <f t="shared" si="1"/>
        <v>0.47831184056271975</v>
      </c>
      <c r="G32" s="176">
        <f t="shared" si="2"/>
        <v>6.8963001172332925</v>
      </c>
      <c r="H32" s="221">
        <f t="shared" si="3"/>
        <v>0.43101875732708078</v>
      </c>
      <c r="I32" s="451">
        <f t="shared" si="4"/>
        <v>40.944000000000003</v>
      </c>
      <c r="J32" s="176">
        <f t="shared" si="5"/>
        <v>0.69602539309523248</v>
      </c>
      <c r="K32" s="176">
        <f t="shared" si="6"/>
        <v>0.97756375434723675</v>
      </c>
      <c r="L32" s="176">
        <f t="shared" si="7"/>
        <v>1.0662153693248047</v>
      </c>
      <c r="M32" s="451">
        <f t="shared" si="14"/>
        <v>350</v>
      </c>
      <c r="N32" s="201">
        <f t="shared" si="8"/>
        <v>350</v>
      </c>
      <c r="O32" s="221">
        <f t="shared" si="9"/>
        <v>0.97302294423044711</v>
      </c>
      <c r="P32" s="177">
        <f t="shared" si="10"/>
        <v>1.4905375983922291</v>
      </c>
      <c r="Q32" s="177">
        <f t="shared" si="11"/>
        <v>0.30456872931949514</v>
      </c>
      <c r="R32" s="177">
        <f t="shared" si="12"/>
        <v>0.4595588235294118</v>
      </c>
    </row>
    <row r="33" spans="3:18" x14ac:dyDescent="0.25">
      <c r="C33" s="174">
        <v>27</v>
      </c>
      <c r="D33" s="5">
        <f t="shared" si="13"/>
        <v>21.72</v>
      </c>
      <c r="E33" s="451">
        <f t="shared" si="0"/>
        <v>19.584</v>
      </c>
      <c r="F33" s="221">
        <f t="shared" si="1"/>
        <v>0.47414294015107494</v>
      </c>
      <c r="G33" s="176">
        <f t="shared" si="2"/>
        <v>6.951409645554909</v>
      </c>
      <c r="H33" s="221">
        <f t="shared" si="3"/>
        <v>0.43446310284718181</v>
      </c>
      <c r="I33" s="451">
        <f t="shared" si="4"/>
        <v>41.304000000000002</v>
      </c>
      <c r="J33" s="176">
        <f t="shared" si="5"/>
        <v>0.69050742867230808</v>
      </c>
      <c r="K33" s="176">
        <f t="shared" si="6"/>
        <v>0.95373954236506653</v>
      </c>
      <c r="L33" s="176">
        <f t="shared" si="7"/>
        <v>1.0577626051965505</v>
      </c>
      <c r="M33" s="451">
        <f t="shared" si="14"/>
        <v>350</v>
      </c>
      <c r="N33" s="201">
        <f t="shared" si="8"/>
        <v>350</v>
      </c>
      <c r="O33" s="221">
        <f t="shared" si="9"/>
        <v>0.9807985390553664</v>
      </c>
      <c r="P33" s="177">
        <f t="shared" si="10"/>
        <v>1.5024487424255</v>
      </c>
      <c r="Q33" s="177">
        <f t="shared" si="11"/>
        <v>0.30945590163106562</v>
      </c>
      <c r="R33" s="177">
        <f t="shared" si="12"/>
        <v>0.4595588235294118</v>
      </c>
    </row>
    <row r="34" spans="3:18" x14ac:dyDescent="0.25">
      <c r="C34" s="174">
        <v>28</v>
      </c>
      <c r="D34" s="5">
        <f t="shared" si="13"/>
        <v>22.080000000000002</v>
      </c>
      <c r="E34" s="451">
        <f t="shared" si="0"/>
        <v>19.584</v>
      </c>
      <c r="F34" s="221">
        <f t="shared" si="1"/>
        <v>0.47004608294930872</v>
      </c>
      <c r="G34" s="176">
        <f t="shared" si="2"/>
        <v>7.0055668202764974</v>
      </c>
      <c r="H34" s="221">
        <f t="shared" si="3"/>
        <v>0.43784792626728108</v>
      </c>
      <c r="I34" s="451">
        <f t="shared" si="4"/>
        <v>41.664000000000001</v>
      </c>
      <c r="J34" s="176">
        <f t="shared" si="5"/>
        <v>0.68516939787187014</v>
      </c>
      <c r="K34" s="176">
        <f t="shared" si="6"/>
        <v>0.93093668189112777</v>
      </c>
      <c r="L34" s="176">
        <f t="shared" si="7"/>
        <v>1.0495854746811737</v>
      </c>
      <c r="M34" s="451">
        <f t="shared" si="14"/>
        <v>350</v>
      </c>
      <c r="N34" s="201">
        <f t="shared" si="8"/>
        <v>350</v>
      </c>
      <c r="O34" s="221">
        <f t="shared" si="9"/>
        <v>0.98843976300197511</v>
      </c>
      <c r="P34" s="177">
        <f t="shared" si="10"/>
        <v>1.514154048716261</v>
      </c>
      <c r="Q34" s="177">
        <f t="shared" si="11"/>
        <v>0.31429651450293222</v>
      </c>
      <c r="R34" s="177">
        <f t="shared" si="12"/>
        <v>0.4595588235294118</v>
      </c>
    </row>
    <row r="35" spans="3:18" x14ac:dyDescent="0.25">
      <c r="C35" s="174">
        <v>29</v>
      </c>
      <c r="D35" s="5">
        <f t="shared" si="13"/>
        <v>22.439999999999998</v>
      </c>
      <c r="E35" s="451">
        <f t="shared" si="0"/>
        <v>19.584</v>
      </c>
      <c r="F35" s="221">
        <f t="shared" si="1"/>
        <v>0.46601941747572811</v>
      </c>
      <c r="G35" s="176">
        <f t="shared" si="2"/>
        <v>7.0587961165048529</v>
      </c>
      <c r="H35" s="221">
        <f t="shared" si="3"/>
        <v>0.44117475728155331</v>
      </c>
      <c r="I35" s="451">
        <f t="shared" si="4"/>
        <v>42.024000000000001</v>
      </c>
      <c r="J35" s="176">
        <f t="shared" si="5"/>
        <v>0.68000264078695472</v>
      </c>
      <c r="K35" s="176">
        <f t="shared" si="6"/>
        <v>0.90909443955475244</v>
      </c>
      <c r="L35" s="176">
        <f t="shared" si="7"/>
        <v>1.0416707119898203</v>
      </c>
      <c r="M35" s="451">
        <f t="shared" si="14"/>
        <v>350</v>
      </c>
      <c r="N35" s="201">
        <f t="shared" si="8"/>
        <v>350</v>
      </c>
      <c r="O35" s="221">
        <f t="shared" si="9"/>
        <v>0.99595006934812758</v>
      </c>
      <c r="P35" s="177">
        <f t="shared" si="10"/>
        <v>1.5256588072122053</v>
      </c>
      <c r="Q35" s="177">
        <f t="shared" si="11"/>
        <v>0.3190907989173612</v>
      </c>
      <c r="R35" s="177">
        <f t="shared" si="12"/>
        <v>0.4595588235294118</v>
      </c>
    </row>
    <row r="36" spans="3:18" x14ac:dyDescent="0.25">
      <c r="C36" s="174">
        <v>30</v>
      </c>
      <c r="D36" s="5">
        <f t="shared" si="13"/>
        <v>22.799999999999997</v>
      </c>
      <c r="E36" s="451">
        <f t="shared" si="0"/>
        <v>19.584</v>
      </c>
      <c r="F36" s="221">
        <f t="shared" si="1"/>
        <v>0.46206115515288787</v>
      </c>
      <c r="G36" s="176">
        <f t="shared" si="2"/>
        <v>7.1111211778029428</v>
      </c>
      <c r="H36" s="221">
        <f t="shared" si="3"/>
        <v>0.44444507361268393</v>
      </c>
      <c r="I36" s="451">
        <f t="shared" si="4"/>
        <v>42.384</v>
      </c>
      <c r="J36" s="176">
        <f t="shared" si="5"/>
        <v>0.67499904445208891</v>
      </c>
      <c r="K36" s="176">
        <f t="shared" si="6"/>
        <v>0.88815663743695916</v>
      </c>
      <c r="L36" s="176">
        <f t="shared" si="7"/>
        <v>1.0340058891729302</v>
      </c>
      <c r="M36" s="451">
        <f t="shared" si="14"/>
        <v>350</v>
      </c>
      <c r="N36" s="201">
        <f t="shared" si="8"/>
        <v>350</v>
      </c>
      <c r="O36" s="221">
        <f t="shared" si="9"/>
        <v>1.0033327940462708</v>
      </c>
      <c r="P36" s="177">
        <f t="shared" si="10"/>
        <v>1.5369681281346061</v>
      </c>
      <c r="Q36" s="177">
        <f t="shared" si="11"/>
        <v>0.32383901053588582</v>
      </c>
      <c r="R36" s="177">
        <f t="shared" si="12"/>
        <v>0.4595588235294118</v>
      </c>
    </row>
    <row r="37" spans="3:18" x14ac:dyDescent="0.25">
      <c r="C37" s="174">
        <v>31</v>
      </c>
      <c r="D37" s="5">
        <f t="shared" si="13"/>
        <v>23.16</v>
      </c>
      <c r="E37" s="451">
        <f t="shared" si="0"/>
        <v>19.584</v>
      </c>
      <c r="F37" s="221">
        <f t="shared" si="1"/>
        <v>0.45816956765861877</v>
      </c>
      <c r="G37" s="176">
        <f t="shared" si="2"/>
        <v>7.1625648512071871</v>
      </c>
      <c r="H37" s="221">
        <f t="shared" si="3"/>
        <v>0.44766030320044919</v>
      </c>
      <c r="I37" s="451">
        <f t="shared" si="4"/>
        <v>42.744</v>
      </c>
      <c r="J37" s="176">
        <f t="shared" si="5"/>
        <v>0.67015100033488739</v>
      </c>
      <c r="K37" s="176">
        <f t="shared" si="6"/>
        <v>0.868071243957108</v>
      </c>
      <c r="L37" s="176">
        <f t="shared" si="7"/>
        <v>1.0265793510031977</v>
      </c>
      <c r="M37" s="451">
        <f t="shared" si="14"/>
        <v>350</v>
      </c>
      <c r="N37" s="201">
        <f t="shared" si="8"/>
        <v>350</v>
      </c>
      <c r="O37" s="221">
        <f t="shared" si="9"/>
        <v>1.0105911606641533</v>
      </c>
      <c r="P37" s="177">
        <f t="shared" si="10"/>
        <v>1.5480869495468037</v>
      </c>
      <c r="Q37" s="177">
        <f t="shared" si="11"/>
        <v>0.3285414273018219</v>
      </c>
      <c r="R37" s="177">
        <f t="shared" si="12"/>
        <v>0.4595588235294118</v>
      </c>
    </row>
    <row r="38" spans="3:18" x14ac:dyDescent="0.25">
      <c r="C38" s="174">
        <v>32</v>
      </c>
      <c r="D38" s="5">
        <f t="shared" si="13"/>
        <v>23.52</v>
      </c>
      <c r="E38" s="451">
        <f t="shared" ref="E38:E69" si="15">(Vout+Vfwd1)*Nps</f>
        <v>19.584</v>
      </c>
      <c r="F38" s="221">
        <f t="shared" ref="F38:F69" si="16">(Vout+Vfwd1)*Nps/((Vout+Vfwd1)*Nps+D38)</f>
        <v>0.45434298440979953</v>
      </c>
      <c r="G38" s="176">
        <f t="shared" ref="G38:G69" si="17">F38*D38*Isw_max*0.5*Efficiency</f>
        <v>7.2131492204899761</v>
      </c>
      <c r="H38" s="221">
        <f t="shared" ref="H38:H69" si="18">G38/Vout</f>
        <v>0.45082182628062351</v>
      </c>
      <c r="I38" s="451">
        <f t="shared" ref="I38:I69" si="19">(Vout+Vfwd1)*Nps+D38</f>
        <v>43.103999999999999</v>
      </c>
      <c r="J38" s="176">
        <f t="shared" ref="J38:J69" si="20">MIN(2*Vout*Iout/(Efficiency*D38*F38), 1.35)</f>
        <v>0.6654513657314779</v>
      </c>
      <c r="K38" s="176">
        <f t="shared" ref="K38:K69" si="21">L*J38/D38*1000000</f>
        <v>0.84879000731055843</v>
      </c>
      <c r="L38" s="176">
        <f t="shared" ref="L38:L69" si="22">L*J38/((Vout+Vfwd1)*Nps)*1000000</f>
        <v>1.0193801558386608</v>
      </c>
      <c r="M38" s="451">
        <f t="shared" si="14"/>
        <v>350</v>
      </c>
      <c r="N38" s="201">
        <f t="shared" ref="N38:N69" si="23">IF(1/((350000*L)*(1/D38+1/E38))&gt;Isw_min, 350, 0.001/((Isw_min*L)*(1/D38+1/E38)))</f>
        <v>350</v>
      </c>
      <c r="O38" s="221">
        <f t="shared" ref="O38:O69" si="24">1/((N38*1000*L)*(1/D38+1/E38))</f>
        <v>1.017728285077951</v>
      </c>
      <c r="P38" s="177">
        <f t="shared" ref="P38:P69" si="25">L*O38/E38*1000000</f>
        <v>1.5590200445434299</v>
      </c>
      <c r="Q38" s="177">
        <f t="shared" ref="Q38:Q69" si="26">0.5*P38*O38*Nps*N38/1000</f>
        <v>0.33319834723042041</v>
      </c>
      <c r="R38" s="177">
        <f t="shared" ref="R38:R69" si="27">L*Isw_min/E38*1000000</f>
        <v>0.4595588235294118</v>
      </c>
    </row>
    <row r="39" spans="3:18" x14ac:dyDescent="0.25">
      <c r="C39" s="174">
        <v>33</v>
      </c>
      <c r="D39" s="5">
        <f t="shared" ref="D39:D70" si="28">C39/100*(VIN_max-VIN_min)+VIN_min</f>
        <v>23.880000000000003</v>
      </c>
      <c r="E39" s="451">
        <f t="shared" si="15"/>
        <v>19.584</v>
      </c>
      <c r="F39" s="221">
        <f t="shared" si="16"/>
        <v>0.45057979017117616</v>
      </c>
      <c r="G39" s="176">
        <f t="shared" si="17"/>
        <v>7.2628956377691898</v>
      </c>
      <c r="H39" s="221">
        <f t="shared" si="18"/>
        <v>0.45393097736057436</v>
      </c>
      <c r="I39" s="451">
        <f t="shared" si="19"/>
        <v>43.463999999999999</v>
      </c>
      <c r="J39" s="176">
        <f t="shared" si="20"/>
        <v>0.66089342865379896</v>
      </c>
      <c r="K39" s="176">
        <f t="shared" si="21"/>
        <v>0.8302681264494961</v>
      </c>
      <c r="L39" s="176">
        <f t="shared" si="22"/>
        <v>1.0123980218348636</v>
      </c>
      <c r="M39" s="451">
        <f t="shared" si="14"/>
        <v>350</v>
      </c>
      <c r="N39" s="201">
        <f t="shared" si="23"/>
        <v>350</v>
      </c>
      <c r="O39" s="221">
        <f t="shared" si="24"/>
        <v>1.0247471799321606</v>
      </c>
      <c r="P39" s="177">
        <f t="shared" si="25"/>
        <v>1.5697720280823537</v>
      </c>
      <c r="Q39" s="177">
        <f t="shared" si="26"/>
        <v>0.33781008637189386</v>
      </c>
      <c r="R39" s="177">
        <f t="shared" si="27"/>
        <v>0.4595588235294118</v>
      </c>
    </row>
    <row r="40" spans="3:18" x14ac:dyDescent="0.25">
      <c r="C40" s="174">
        <v>34</v>
      </c>
      <c r="D40" s="5">
        <f t="shared" si="28"/>
        <v>24.240000000000002</v>
      </c>
      <c r="E40" s="451">
        <f t="shared" si="15"/>
        <v>19.584</v>
      </c>
      <c r="F40" s="221">
        <f t="shared" si="16"/>
        <v>0.44687842278203727</v>
      </c>
      <c r="G40" s="176">
        <f t="shared" si="17"/>
        <v>7.3118247535596934</v>
      </c>
      <c r="H40" s="221">
        <f t="shared" si="18"/>
        <v>0.45698904709748084</v>
      </c>
      <c r="I40" s="451">
        <f t="shared" si="19"/>
        <v>43.823999999999998</v>
      </c>
      <c r="J40" s="176">
        <f t="shared" si="20"/>
        <v>0.65647087584575436</v>
      </c>
      <c r="K40" s="176">
        <f t="shared" si="21"/>
        <v>0.81246395525464632</v>
      </c>
      <c r="L40" s="176">
        <f t="shared" si="22"/>
        <v>1.0056232779499912</v>
      </c>
      <c r="M40" s="451">
        <f t="shared" si="14"/>
        <v>350</v>
      </c>
      <c r="N40" s="201">
        <f t="shared" si="23"/>
        <v>350</v>
      </c>
      <c r="O40" s="221">
        <f t="shared" si="24"/>
        <v>1.0316507588796746</v>
      </c>
      <c r="P40" s="177">
        <f t="shared" si="25"/>
        <v>1.5803473634798939</v>
      </c>
      <c r="Q40" s="177">
        <f t="shared" si="26"/>
        <v>0.34237697693378039</v>
      </c>
      <c r="R40" s="177">
        <f t="shared" si="27"/>
        <v>0.4595588235294118</v>
      </c>
    </row>
    <row r="41" spans="3:18" x14ac:dyDescent="0.25">
      <c r="C41" s="174">
        <v>35</v>
      </c>
      <c r="D41" s="5">
        <f t="shared" si="28"/>
        <v>24.6</v>
      </c>
      <c r="E41" s="451">
        <f t="shared" si="15"/>
        <v>19.584</v>
      </c>
      <c r="F41" s="221">
        <f t="shared" si="16"/>
        <v>0.44323737099402499</v>
      </c>
      <c r="G41" s="176">
        <f t="shared" si="17"/>
        <v>7.3599565453557858</v>
      </c>
      <c r="H41" s="221">
        <f t="shared" si="18"/>
        <v>0.45999728408473661</v>
      </c>
      <c r="I41" s="451">
        <f t="shared" si="19"/>
        <v>44.183999999999997</v>
      </c>
      <c r="J41" s="176">
        <f t="shared" si="20"/>
        <v>0.65217776360770141</v>
      </c>
      <c r="K41" s="176">
        <f t="shared" si="21"/>
        <v>0.79533873610695294</v>
      </c>
      <c r="L41" s="176">
        <f t="shared" si="22"/>
        <v>0.99904681925199357</v>
      </c>
      <c r="M41" s="451">
        <f t="shared" si="14"/>
        <v>350</v>
      </c>
      <c r="N41" s="201">
        <f t="shared" si="23"/>
        <v>350</v>
      </c>
      <c r="O41" s="221">
        <f t="shared" si="24"/>
        <v>1.0384418406145728</v>
      </c>
      <c r="P41" s="177">
        <f t="shared" si="25"/>
        <v>1.5907503685884998</v>
      </c>
      <c r="Q41" s="177">
        <f t="shared" si="26"/>
        <v>0.34689936555022388</v>
      </c>
      <c r="R41" s="177">
        <f t="shared" si="27"/>
        <v>0.4595588235294118</v>
      </c>
    </row>
    <row r="42" spans="3:18" x14ac:dyDescent="0.25">
      <c r="C42" s="174">
        <v>36</v>
      </c>
      <c r="D42" s="5">
        <f t="shared" si="28"/>
        <v>24.96</v>
      </c>
      <c r="E42" s="451">
        <f t="shared" si="15"/>
        <v>19.584</v>
      </c>
      <c r="F42" s="221">
        <f t="shared" si="16"/>
        <v>0.43965517241379315</v>
      </c>
      <c r="G42" s="176">
        <f t="shared" si="17"/>
        <v>7.4073103448275877</v>
      </c>
      <c r="H42" s="221">
        <f t="shared" si="18"/>
        <v>0.46295689655172423</v>
      </c>
      <c r="I42" s="451">
        <f t="shared" si="19"/>
        <v>44.543999999999997</v>
      </c>
      <c r="J42" s="176">
        <f t="shared" si="20"/>
        <v>0.64800849114574588</v>
      </c>
      <c r="K42" s="176">
        <f t="shared" si="21"/>
        <v>0.77885635955017529</v>
      </c>
      <c r="L42" s="176">
        <f t="shared" si="22"/>
        <v>0.99266006609336088</v>
      </c>
      <c r="M42" s="451">
        <f t="shared" si="14"/>
        <v>350</v>
      </c>
      <c r="N42" s="201">
        <f t="shared" si="23"/>
        <v>350</v>
      </c>
      <c r="O42" s="221">
        <f t="shared" si="24"/>
        <v>1.0451231527093596</v>
      </c>
      <c r="P42" s="177">
        <f t="shared" si="25"/>
        <v>1.6009852216748768</v>
      </c>
      <c r="Q42" s="177">
        <f t="shared" si="26"/>
        <v>0.3513776116867674</v>
      </c>
      <c r="R42" s="177">
        <f t="shared" si="27"/>
        <v>0.4595588235294118</v>
      </c>
    </row>
    <row r="43" spans="3:18" x14ac:dyDescent="0.25">
      <c r="C43" s="174">
        <v>37</v>
      </c>
      <c r="D43" s="5">
        <f t="shared" si="28"/>
        <v>25.32</v>
      </c>
      <c r="E43" s="451">
        <f t="shared" si="15"/>
        <v>19.584</v>
      </c>
      <c r="F43" s="221">
        <f t="shared" si="16"/>
        <v>0.43613041154462856</v>
      </c>
      <c r="G43" s="176">
        <f t="shared" si="17"/>
        <v>7.453904863709246</v>
      </c>
      <c r="H43" s="221">
        <f t="shared" si="18"/>
        <v>0.46586905398182787</v>
      </c>
      <c r="I43" s="451">
        <f t="shared" si="19"/>
        <v>44.903999999999996</v>
      </c>
      <c r="J43" s="176">
        <f t="shared" si="20"/>
        <v>0.64395777619455719</v>
      </c>
      <c r="K43" s="176">
        <f t="shared" si="21"/>
        <v>0.7629831471499493</v>
      </c>
      <c r="L43" s="176">
        <f t="shared" si="22"/>
        <v>0.98645492676862312</v>
      </c>
      <c r="M43" s="451">
        <f t="shared" si="14"/>
        <v>350</v>
      </c>
      <c r="N43" s="201">
        <f t="shared" si="23"/>
        <v>350</v>
      </c>
      <c r="O43" s="221">
        <f t="shared" si="24"/>
        <v>1.0516973352676187</v>
      </c>
      <c r="P43" s="177">
        <f t="shared" si="25"/>
        <v>1.611055967015347</v>
      </c>
      <c r="Q43" s="177">
        <f t="shared" si="26"/>
        <v>0.35581208617017779</v>
      </c>
      <c r="R43" s="177">
        <f t="shared" si="27"/>
        <v>0.4595588235294118</v>
      </c>
    </row>
    <row r="44" spans="3:18" x14ac:dyDescent="0.25">
      <c r="C44" s="174">
        <v>38</v>
      </c>
      <c r="D44" s="5">
        <f t="shared" si="28"/>
        <v>25.68</v>
      </c>
      <c r="E44" s="451">
        <f t="shared" si="15"/>
        <v>19.584</v>
      </c>
      <c r="F44" s="221">
        <f t="shared" si="16"/>
        <v>0.43266171792152708</v>
      </c>
      <c r="G44" s="176">
        <f t="shared" si="17"/>
        <v>7.4997582184517508</v>
      </c>
      <c r="H44" s="221">
        <f t="shared" si="18"/>
        <v>0.46873488865323443</v>
      </c>
      <c r="I44" s="451">
        <f t="shared" si="19"/>
        <v>45.263999999999996</v>
      </c>
      <c r="J44" s="176">
        <f t="shared" si="20"/>
        <v>0.64002063269059783</v>
      </c>
      <c r="K44" s="176">
        <f t="shared" si="21"/>
        <v>0.74768765501238066</v>
      </c>
      <c r="L44" s="176">
        <f t="shared" si="22"/>
        <v>0.98042376331280301</v>
      </c>
      <c r="M44" s="451">
        <f t="shared" si="14"/>
        <v>350</v>
      </c>
      <c r="N44" s="201">
        <f t="shared" si="23"/>
        <v>350</v>
      </c>
      <c r="O44" s="221">
        <f t="shared" si="24"/>
        <v>1.0581669444023634</v>
      </c>
      <c r="P44" s="177">
        <f t="shared" si="25"/>
        <v>1.6209665202242087</v>
      </c>
      <c r="Q44" s="177">
        <f t="shared" si="26"/>
        <v>0.36020316983367839</v>
      </c>
      <c r="R44" s="177">
        <f t="shared" si="27"/>
        <v>0.4595588235294118</v>
      </c>
    </row>
    <row r="45" spans="3:18" x14ac:dyDescent="0.25">
      <c r="C45" s="174">
        <v>39</v>
      </c>
      <c r="D45" s="5">
        <f t="shared" si="28"/>
        <v>26.04</v>
      </c>
      <c r="E45" s="451">
        <f t="shared" si="15"/>
        <v>19.584</v>
      </c>
      <c r="F45" s="221">
        <f t="shared" si="16"/>
        <v>0.4292477643345608</v>
      </c>
      <c r="G45" s="176">
        <f t="shared" si="17"/>
        <v>7.5448879537085753</v>
      </c>
      <c r="H45" s="221">
        <f t="shared" si="18"/>
        <v>0.47155549710678596</v>
      </c>
      <c r="I45" s="451">
        <f t="shared" si="19"/>
        <v>45.623999999999995</v>
      </c>
      <c r="J45" s="176">
        <f t="shared" si="20"/>
        <v>0.63619235029734711</v>
      </c>
      <c r="K45" s="176">
        <f t="shared" si="21"/>
        <v>0.73294049573427089</v>
      </c>
      <c r="L45" s="176">
        <f t="shared" si="22"/>
        <v>0.9745593601368675</v>
      </c>
      <c r="M45" s="451">
        <f t="shared" si="14"/>
        <v>350</v>
      </c>
      <c r="N45" s="201">
        <f t="shared" si="23"/>
        <v>350</v>
      </c>
      <c r="O45" s="221">
        <f t="shared" si="24"/>
        <v>1.0645344555497107</v>
      </c>
      <c r="P45" s="177">
        <f t="shared" si="25"/>
        <v>1.6307206733298265</v>
      </c>
      <c r="Q45" s="177">
        <f t="shared" si="26"/>
        <v>0.36455125226873308</v>
      </c>
      <c r="R45" s="177">
        <f t="shared" si="27"/>
        <v>0.4595588235294118</v>
      </c>
    </row>
    <row r="46" spans="3:18" x14ac:dyDescent="0.25">
      <c r="C46" s="174">
        <v>40</v>
      </c>
      <c r="D46" s="5">
        <f t="shared" si="28"/>
        <v>26.4</v>
      </c>
      <c r="E46" s="451">
        <f t="shared" si="15"/>
        <v>19.584</v>
      </c>
      <c r="F46" s="221">
        <f t="shared" si="16"/>
        <v>0.42588726513569941</v>
      </c>
      <c r="G46" s="176">
        <f t="shared" si="17"/>
        <v>7.5893110647181627</v>
      </c>
      <c r="H46" s="221">
        <f t="shared" si="18"/>
        <v>0.47433194154488517</v>
      </c>
      <c r="I46" s="451">
        <f t="shared" si="19"/>
        <v>45.983999999999995</v>
      </c>
      <c r="J46" s="176">
        <f t="shared" si="20"/>
        <v>0.6324684756057305</v>
      </c>
      <c r="K46" s="176">
        <f t="shared" si="21"/>
        <v>0.71871417682469374</v>
      </c>
      <c r="L46" s="176">
        <f t="shared" si="22"/>
        <v>0.96885489522936652</v>
      </c>
      <c r="M46" s="451">
        <f t="shared" si="14"/>
        <v>350</v>
      </c>
      <c r="N46" s="201">
        <f t="shared" si="23"/>
        <v>350</v>
      </c>
      <c r="O46" s="221">
        <f t="shared" si="24"/>
        <v>1.0708022666269013</v>
      </c>
      <c r="P46" s="177">
        <f t="shared" si="25"/>
        <v>1.6403220996122876</v>
      </c>
      <c r="Q46" s="177">
        <f t="shared" si="26"/>
        <v>0.36885673067523739</v>
      </c>
      <c r="R46" s="177">
        <f t="shared" si="27"/>
        <v>0.4595588235294118</v>
      </c>
    </row>
    <row r="47" spans="3:18" x14ac:dyDescent="0.25">
      <c r="C47" s="174">
        <v>41</v>
      </c>
      <c r="D47" s="5">
        <f t="shared" si="28"/>
        <v>26.759999999999998</v>
      </c>
      <c r="E47" s="451">
        <f t="shared" si="15"/>
        <v>19.584</v>
      </c>
      <c r="F47" s="221">
        <f t="shared" si="16"/>
        <v>0.42257897462454691</v>
      </c>
      <c r="G47" s="176">
        <f t="shared" si="17"/>
        <v>7.63304401864319</v>
      </c>
      <c r="H47" s="221">
        <f t="shared" si="18"/>
        <v>0.47706525116519938</v>
      </c>
      <c r="I47" s="451">
        <f t="shared" si="19"/>
        <v>46.343999999999994</v>
      </c>
      <c r="J47" s="176">
        <f t="shared" si="20"/>
        <v>0.62884479485200495</v>
      </c>
      <c r="K47" s="176">
        <f t="shared" si="21"/>
        <v>0.70498295386996079</v>
      </c>
      <c r="L47" s="176">
        <f t="shared" si="22"/>
        <v>0.96330391368260571</v>
      </c>
      <c r="M47" s="451">
        <f t="shared" si="14"/>
        <v>350</v>
      </c>
      <c r="N47" s="201">
        <f t="shared" si="23"/>
        <v>350</v>
      </c>
      <c r="O47" s="221">
        <f t="shared" si="24"/>
        <v>1.0769727010431309</v>
      </c>
      <c r="P47" s="177">
        <f t="shared" si="25"/>
        <v>1.6497743582155806</v>
      </c>
      <c r="Q47" s="177">
        <f t="shared" si="26"/>
        <v>0.37312000880261759</v>
      </c>
      <c r="R47" s="177">
        <f t="shared" si="27"/>
        <v>0.4595588235294118</v>
      </c>
    </row>
    <row r="48" spans="3:18" x14ac:dyDescent="0.25">
      <c r="C48" s="174">
        <v>42</v>
      </c>
      <c r="D48" s="5">
        <f t="shared" si="28"/>
        <v>27.119999999999997</v>
      </c>
      <c r="E48" s="451">
        <f t="shared" si="15"/>
        <v>19.584</v>
      </c>
      <c r="F48" s="221">
        <f t="shared" si="16"/>
        <v>0.41932168550873594</v>
      </c>
      <c r="G48" s="176">
        <f t="shared" si="17"/>
        <v>7.6761027749229189</v>
      </c>
      <c r="H48" s="221">
        <f t="shared" si="18"/>
        <v>0.47975642343268243</v>
      </c>
      <c r="I48" s="451">
        <f t="shared" si="19"/>
        <v>46.703999999999994</v>
      </c>
      <c r="J48" s="176">
        <f t="shared" si="20"/>
        <v>0.625317318012095</v>
      </c>
      <c r="K48" s="176">
        <f t="shared" si="21"/>
        <v>0.69172269691603439</v>
      </c>
      <c r="L48" s="176">
        <f t="shared" si="22"/>
        <v>0.95790030332735143</v>
      </c>
      <c r="M48" s="451">
        <f t="shared" si="14"/>
        <v>350</v>
      </c>
      <c r="N48" s="201">
        <f t="shared" si="23"/>
        <v>350</v>
      </c>
      <c r="O48" s="221">
        <f t="shared" si="24"/>
        <v>1.0830480105711349</v>
      </c>
      <c r="P48" s="177">
        <f t="shared" si="25"/>
        <v>1.6590808985464691</v>
      </c>
      <c r="Q48" s="177">
        <f t="shared" si="26"/>
        <v>0.3773414959749381</v>
      </c>
      <c r="R48" s="177">
        <f t="shared" si="27"/>
        <v>0.4595588235294118</v>
      </c>
    </row>
    <row r="49" spans="3:18" x14ac:dyDescent="0.25">
      <c r="C49" s="174">
        <v>43</v>
      </c>
      <c r="D49" s="5">
        <f t="shared" si="28"/>
        <v>27.48</v>
      </c>
      <c r="E49" s="451">
        <f t="shared" si="15"/>
        <v>19.584</v>
      </c>
      <c r="F49" s="221">
        <f t="shared" si="16"/>
        <v>0.41611422743498216</v>
      </c>
      <c r="G49" s="176">
        <f t="shared" si="17"/>
        <v>7.718502804691485</v>
      </c>
      <c r="H49" s="221">
        <f t="shared" si="18"/>
        <v>0.48240642529321781</v>
      </c>
      <c r="I49" s="451">
        <f t="shared" si="19"/>
        <v>47.064</v>
      </c>
      <c r="J49" s="176">
        <f t="shared" si="20"/>
        <v>0.62188226414615666</v>
      </c>
      <c r="K49" s="176">
        <f t="shared" si="21"/>
        <v>0.67891076871851164</v>
      </c>
      <c r="L49" s="176">
        <f t="shared" si="22"/>
        <v>0.95263827228271547</v>
      </c>
      <c r="M49" s="451">
        <f t="shared" si="14"/>
        <v>350</v>
      </c>
      <c r="N49" s="201">
        <f t="shared" si="23"/>
        <v>350</v>
      </c>
      <c r="O49" s="221">
        <f t="shared" si="24"/>
        <v>1.0890303780869819</v>
      </c>
      <c r="P49" s="177">
        <f t="shared" si="25"/>
        <v>1.6682450644714795</v>
      </c>
      <c r="Q49" s="177">
        <f t="shared" si="26"/>
        <v>0.38152160619365444</v>
      </c>
      <c r="R49" s="177">
        <f t="shared" si="27"/>
        <v>0.4595588235294118</v>
      </c>
    </row>
    <row r="50" spans="3:18" x14ac:dyDescent="0.25">
      <c r="C50" s="174">
        <v>44</v>
      </c>
      <c r="D50" s="5">
        <f t="shared" si="28"/>
        <v>27.84</v>
      </c>
      <c r="E50" s="451">
        <f t="shared" si="15"/>
        <v>19.584</v>
      </c>
      <c r="F50" s="221">
        <f t="shared" si="16"/>
        <v>0.41295546558704455</v>
      </c>
      <c r="G50" s="176">
        <f t="shared" si="17"/>
        <v>7.7602591093117423</v>
      </c>
      <c r="H50" s="221">
        <f t="shared" si="18"/>
        <v>0.4850161943319839</v>
      </c>
      <c r="I50" s="451">
        <f t="shared" si="19"/>
        <v>47.423999999999999</v>
      </c>
      <c r="J50" s="176">
        <f t="shared" si="20"/>
        <v>0.61853604788019934</v>
      </c>
      <c r="K50" s="176">
        <f t="shared" si="21"/>
        <v>0.66652591366400793</v>
      </c>
      <c r="L50" s="176">
        <f t="shared" si="22"/>
        <v>0.94751232824785447</v>
      </c>
      <c r="M50" s="451">
        <f t="shared" si="14"/>
        <v>350</v>
      </c>
      <c r="N50" s="201">
        <f t="shared" si="23"/>
        <v>350</v>
      </c>
      <c r="O50" s="221">
        <f t="shared" si="24"/>
        <v>1.0949219201850782</v>
      </c>
      <c r="P50" s="177">
        <f t="shared" si="25"/>
        <v>1.6772700983227302</v>
      </c>
      <c r="Q50" s="177">
        <f t="shared" si="26"/>
        <v>0.38566075731215305</v>
      </c>
      <c r="R50" s="177">
        <f t="shared" si="27"/>
        <v>0.4595588235294118</v>
      </c>
    </row>
    <row r="51" spans="3:18" x14ac:dyDescent="0.25">
      <c r="C51" s="174">
        <v>45</v>
      </c>
      <c r="D51" s="5">
        <f t="shared" si="28"/>
        <v>28.2</v>
      </c>
      <c r="E51" s="451">
        <f t="shared" si="15"/>
        <v>19.584</v>
      </c>
      <c r="F51" s="221">
        <f t="shared" si="16"/>
        <v>0.40984429934706179</v>
      </c>
      <c r="G51" s="176">
        <f t="shared" si="17"/>
        <v>7.8013862380713208</v>
      </c>
      <c r="H51" s="221">
        <f t="shared" si="18"/>
        <v>0.48758663987945755</v>
      </c>
      <c r="I51" s="451">
        <f t="shared" si="19"/>
        <v>47.783999999999999</v>
      </c>
      <c r="J51" s="176">
        <f t="shared" si="20"/>
        <v>0.61527526692316015</v>
      </c>
      <c r="K51" s="176">
        <f t="shared" si="21"/>
        <v>0.6545481563012342</v>
      </c>
      <c r="L51" s="176">
        <f t="shared" si="22"/>
        <v>0.94251725937984088</v>
      </c>
      <c r="M51" s="451">
        <f t="shared" si="14"/>
        <v>350</v>
      </c>
      <c r="N51" s="201">
        <f t="shared" si="23"/>
        <v>350</v>
      </c>
      <c r="O51" s="221">
        <f t="shared" si="24"/>
        <v>1.1007246896749658</v>
      </c>
      <c r="P51" s="177">
        <f t="shared" si="25"/>
        <v>1.6861591447226805</v>
      </c>
      <c r="Q51" s="177">
        <f t="shared" si="26"/>
        <v>0.38975937027667046</v>
      </c>
      <c r="R51" s="177">
        <f t="shared" si="27"/>
        <v>0.4595588235294118</v>
      </c>
    </row>
    <row r="52" spans="3:18" x14ac:dyDescent="0.25">
      <c r="C52" s="174">
        <v>46</v>
      </c>
      <c r="D52" s="5">
        <f t="shared" si="28"/>
        <v>28.560000000000002</v>
      </c>
      <c r="E52" s="451">
        <f t="shared" si="15"/>
        <v>19.584</v>
      </c>
      <c r="F52" s="221">
        <f t="shared" si="16"/>
        <v>0.40677966101694912</v>
      </c>
      <c r="G52" s="176">
        <f t="shared" si="17"/>
        <v>7.8418983050847464</v>
      </c>
      <c r="H52" s="221">
        <f t="shared" si="18"/>
        <v>0.49011864406779665</v>
      </c>
      <c r="I52" s="451">
        <f t="shared" si="19"/>
        <v>48.144000000000005</v>
      </c>
      <c r="J52" s="176">
        <f t="shared" si="20"/>
        <v>0.61209669052806304</v>
      </c>
      <c r="K52" s="176">
        <f t="shared" si="21"/>
        <v>0.64295870853788128</v>
      </c>
      <c r="L52" s="176">
        <f t="shared" si="22"/>
        <v>0.93764811661774372</v>
      </c>
      <c r="M52" s="451">
        <f t="shared" si="14"/>
        <v>350</v>
      </c>
      <c r="N52" s="201">
        <f t="shared" si="23"/>
        <v>350</v>
      </c>
      <c r="O52" s="221">
        <f t="shared" si="24"/>
        <v>1.1064406779661018</v>
      </c>
      <c r="P52" s="177">
        <f t="shared" si="25"/>
        <v>1.6949152542372883</v>
      </c>
      <c r="Q52" s="177">
        <f t="shared" si="26"/>
        <v>0.39381786842861249</v>
      </c>
      <c r="R52" s="177">
        <f t="shared" si="27"/>
        <v>0.4595588235294118</v>
      </c>
    </row>
    <row r="53" spans="3:18" x14ac:dyDescent="0.25">
      <c r="C53" s="174">
        <v>47</v>
      </c>
      <c r="D53" s="5">
        <f t="shared" si="28"/>
        <v>28.919999999999998</v>
      </c>
      <c r="E53" s="451">
        <f t="shared" si="15"/>
        <v>19.584</v>
      </c>
      <c r="F53" s="221">
        <f t="shared" si="16"/>
        <v>0.40376051459673429</v>
      </c>
      <c r="G53" s="176">
        <f t="shared" si="17"/>
        <v>7.8818090054428493</v>
      </c>
      <c r="H53" s="221">
        <f t="shared" si="18"/>
        <v>0.49261306284017808</v>
      </c>
      <c r="I53" s="451">
        <f t="shared" si="19"/>
        <v>48.503999999999998</v>
      </c>
      <c r="J53" s="176">
        <f t="shared" si="20"/>
        <v>0.60899724881500172</v>
      </c>
      <c r="K53" s="176">
        <f t="shared" si="21"/>
        <v>0.6317398846628649</v>
      </c>
      <c r="L53" s="176">
        <f t="shared" si="22"/>
        <v>0.93290019732690221</v>
      </c>
      <c r="M53" s="451">
        <f t="shared" si="14"/>
        <v>350</v>
      </c>
      <c r="N53" s="201">
        <f t="shared" si="23"/>
        <v>350</v>
      </c>
      <c r="O53" s="221">
        <f t="shared" si="24"/>
        <v>1.1120718173464339</v>
      </c>
      <c r="P53" s="177">
        <f t="shared" si="25"/>
        <v>1.7035413868664737</v>
      </c>
      <c r="Q53" s="177">
        <f t="shared" si="26"/>
        <v>0.39783667686366736</v>
      </c>
      <c r="R53" s="177">
        <f t="shared" si="27"/>
        <v>0.4595588235294118</v>
      </c>
    </row>
    <row r="54" spans="3:18" x14ac:dyDescent="0.25">
      <c r="C54" s="174">
        <v>48</v>
      </c>
      <c r="D54" s="5">
        <f t="shared" si="28"/>
        <v>29.28</v>
      </c>
      <c r="E54" s="451">
        <f t="shared" si="15"/>
        <v>19.584</v>
      </c>
      <c r="F54" s="221">
        <f t="shared" si="16"/>
        <v>0.40078585461689581</v>
      </c>
      <c r="G54" s="176">
        <f t="shared" si="17"/>
        <v>7.921131630648329</v>
      </c>
      <c r="H54" s="221">
        <f t="shared" si="18"/>
        <v>0.49507072691552056</v>
      </c>
      <c r="I54" s="451">
        <f t="shared" si="19"/>
        <v>48.864000000000004</v>
      </c>
      <c r="J54" s="176">
        <f t="shared" si="20"/>
        <v>0.60597402288176971</v>
      </c>
      <c r="K54" s="176">
        <f t="shared" si="21"/>
        <v>0.62087502344443624</v>
      </c>
      <c r="L54" s="176">
        <f t="shared" si="22"/>
        <v>0.92826903014976991</v>
      </c>
      <c r="M54" s="451">
        <f t="shared" si="14"/>
        <v>350</v>
      </c>
      <c r="N54" s="201">
        <f t="shared" si="23"/>
        <v>350</v>
      </c>
      <c r="O54" s="221">
        <f t="shared" si="24"/>
        <v>1.1176199831602582</v>
      </c>
      <c r="P54" s="177">
        <f t="shared" si="25"/>
        <v>1.7120404153802975</v>
      </c>
      <c r="Q54" s="177">
        <f t="shared" si="26"/>
        <v>0.40181622184347204</v>
      </c>
      <c r="R54" s="177">
        <f t="shared" si="27"/>
        <v>0.4595588235294118</v>
      </c>
    </row>
    <row r="55" spans="3:18" x14ac:dyDescent="0.25">
      <c r="C55" s="174">
        <v>49</v>
      </c>
      <c r="D55" s="5">
        <f t="shared" si="28"/>
        <v>29.64</v>
      </c>
      <c r="E55" s="451">
        <f t="shared" si="15"/>
        <v>19.584</v>
      </c>
      <c r="F55" s="221">
        <f t="shared" si="16"/>
        <v>0.39785470502194048</v>
      </c>
      <c r="G55" s="176">
        <f t="shared" si="17"/>
        <v>7.9598790833739637</v>
      </c>
      <c r="H55" s="221">
        <f t="shared" si="18"/>
        <v>0.49749244271087273</v>
      </c>
      <c r="I55" s="451">
        <f t="shared" si="19"/>
        <v>49.224000000000004</v>
      </c>
      <c r="J55" s="176">
        <f t="shared" si="20"/>
        <v>0.60302423563517482</v>
      </c>
      <c r="K55" s="176">
        <f t="shared" si="21"/>
        <v>0.61034841663479233</v>
      </c>
      <c r="L55" s="176">
        <f t="shared" si="22"/>
        <v>0.92375036096074581</v>
      </c>
      <c r="M55" s="451">
        <f t="shared" si="14"/>
        <v>350</v>
      </c>
      <c r="N55" s="201">
        <f t="shared" si="23"/>
        <v>350</v>
      </c>
      <c r="O55" s="221">
        <f t="shared" si="24"/>
        <v>1.1230869958905065</v>
      </c>
      <c r="P55" s="177">
        <f t="shared" si="25"/>
        <v>1.7204151285087419</v>
      </c>
      <c r="Q55" s="177">
        <f t="shared" si="26"/>
        <v>0.40575693025590714</v>
      </c>
      <c r="R55" s="177">
        <f t="shared" si="27"/>
        <v>0.4595588235294118</v>
      </c>
    </row>
    <row r="56" spans="3:18" x14ac:dyDescent="0.25">
      <c r="C56" s="174">
        <v>50</v>
      </c>
      <c r="D56" s="5">
        <f t="shared" si="28"/>
        <v>30</v>
      </c>
      <c r="E56" s="451">
        <f t="shared" si="15"/>
        <v>19.584</v>
      </c>
      <c r="F56" s="221">
        <f t="shared" si="16"/>
        <v>0.39496611810261373</v>
      </c>
      <c r="G56" s="176">
        <f t="shared" si="17"/>
        <v>7.9980638915779281</v>
      </c>
      <c r="H56" s="221">
        <f t="shared" si="18"/>
        <v>0.4998789932236205</v>
      </c>
      <c r="I56" s="451">
        <f t="shared" si="19"/>
        <v>49.584000000000003</v>
      </c>
      <c r="J56" s="176">
        <f t="shared" si="20"/>
        <v>0.60014524328249819</v>
      </c>
      <c r="K56" s="176">
        <f t="shared" si="21"/>
        <v>0.60014524328249819</v>
      </c>
      <c r="L56" s="176">
        <f t="shared" si="22"/>
        <v>0.91934013983225815</v>
      </c>
      <c r="M56" s="451">
        <f t="shared" si="14"/>
        <v>350</v>
      </c>
      <c r="N56" s="201">
        <f t="shared" si="23"/>
        <v>350</v>
      </c>
      <c r="O56" s="221">
        <f t="shared" si="24"/>
        <v>1.1284746231503249</v>
      </c>
      <c r="P56" s="177">
        <f t="shared" si="25"/>
        <v>1.7286682339925319</v>
      </c>
      <c r="Q56" s="177">
        <f t="shared" si="26"/>
        <v>0.40965922912039854</v>
      </c>
      <c r="R56" s="177">
        <f t="shared" si="27"/>
        <v>0.4595588235294118</v>
      </c>
    </row>
    <row r="57" spans="3:18" x14ac:dyDescent="0.25">
      <c r="C57" s="174">
        <v>51</v>
      </c>
      <c r="D57" s="5">
        <f t="shared" si="28"/>
        <v>30.36</v>
      </c>
      <c r="E57" s="451">
        <f t="shared" si="15"/>
        <v>19.584</v>
      </c>
      <c r="F57" s="221">
        <f t="shared" si="16"/>
        <v>0.3921191734742912</v>
      </c>
      <c r="G57" s="176">
        <f t="shared" si="17"/>
        <v>8.0356982220086497</v>
      </c>
      <c r="H57" s="221">
        <f t="shared" si="18"/>
        <v>0.50223113887554061</v>
      </c>
      <c r="I57" s="451">
        <f t="shared" si="19"/>
        <v>49.944000000000003</v>
      </c>
      <c r="J57" s="176">
        <f t="shared" si="20"/>
        <v>0.59733452742830406</v>
      </c>
      <c r="K57" s="176">
        <f t="shared" si="21"/>
        <v>0.59025150931650605</v>
      </c>
      <c r="L57" s="176">
        <f t="shared" si="22"/>
        <v>0.91503450892816196</v>
      </c>
      <c r="M57" s="451">
        <f t="shared" si="14"/>
        <v>350</v>
      </c>
      <c r="N57" s="201">
        <f t="shared" si="23"/>
        <v>350</v>
      </c>
      <c r="O57" s="221">
        <f t="shared" si="24"/>
        <v>1.1337845815885219</v>
      </c>
      <c r="P57" s="177">
        <f t="shared" si="25"/>
        <v>1.7368023615020249</v>
      </c>
      <c r="Q57" s="177">
        <f t="shared" si="26"/>
        <v>0.41352354513488132</v>
      </c>
      <c r="R57" s="177">
        <f t="shared" si="27"/>
        <v>0.4595588235294118</v>
      </c>
    </row>
    <row r="58" spans="3:18" x14ac:dyDescent="0.25">
      <c r="C58" s="174">
        <v>52</v>
      </c>
      <c r="D58" s="5">
        <f t="shared" si="28"/>
        <v>30.72</v>
      </c>
      <c r="E58" s="451">
        <f t="shared" si="15"/>
        <v>19.584</v>
      </c>
      <c r="F58" s="221">
        <f t="shared" si="16"/>
        <v>0.38931297709923662</v>
      </c>
      <c r="G58" s="176">
        <f t="shared" si="17"/>
        <v>8.07279389312977</v>
      </c>
      <c r="H58" s="221">
        <f t="shared" si="18"/>
        <v>0.50454961832061063</v>
      </c>
      <c r="I58" s="451">
        <f t="shared" si="19"/>
        <v>50.304000000000002</v>
      </c>
      <c r="J58" s="176">
        <f t="shared" si="20"/>
        <v>0.59458968772694276</v>
      </c>
      <c r="K58" s="176">
        <f t="shared" si="21"/>
        <v>0.58065399192084255</v>
      </c>
      <c r="L58" s="176">
        <f t="shared" si="22"/>
        <v>0.91082979124838048</v>
      </c>
      <c r="M58" s="451">
        <f t="shared" si="14"/>
        <v>350</v>
      </c>
      <c r="N58" s="201">
        <f t="shared" si="23"/>
        <v>350</v>
      </c>
      <c r="O58" s="221">
        <f t="shared" si="24"/>
        <v>1.1390185387131952</v>
      </c>
      <c r="P58" s="177">
        <f t="shared" si="25"/>
        <v>1.7448200654307526</v>
      </c>
      <c r="Q58" s="177">
        <f t="shared" si="26"/>
        <v>0.41735030426132347</v>
      </c>
      <c r="R58" s="177">
        <f t="shared" si="27"/>
        <v>0.4595588235294118</v>
      </c>
    </row>
    <row r="59" spans="3:18" x14ac:dyDescent="0.25">
      <c r="C59" s="174">
        <v>53</v>
      </c>
      <c r="D59" s="5">
        <f t="shared" si="28"/>
        <v>31.080000000000002</v>
      </c>
      <c r="E59" s="451">
        <f t="shared" si="15"/>
        <v>19.584</v>
      </c>
      <c r="F59" s="221">
        <f t="shared" si="16"/>
        <v>0.38654666035054475</v>
      </c>
      <c r="G59" s="176">
        <f t="shared" si="17"/>
        <v>8.1093623874940786</v>
      </c>
      <c r="H59" s="221">
        <f t="shared" si="18"/>
        <v>0.50683514921837991</v>
      </c>
      <c r="I59" s="451">
        <f t="shared" si="19"/>
        <v>50.664000000000001</v>
      </c>
      <c r="J59" s="176">
        <f t="shared" si="20"/>
        <v>0.59190843504568991</v>
      </c>
      <c r="K59" s="176">
        <f t="shared" si="21"/>
        <v>0.57134018826804045</v>
      </c>
      <c r="L59" s="176">
        <f t="shared" si="22"/>
        <v>0.90672248015577495</v>
      </c>
      <c r="M59" s="451">
        <f t="shared" si="14"/>
        <v>350</v>
      </c>
      <c r="N59" s="201">
        <f t="shared" si="23"/>
        <v>350</v>
      </c>
      <c r="O59" s="221">
        <f t="shared" si="24"/>
        <v>1.1441781146376124</v>
      </c>
      <c r="P59" s="177">
        <f t="shared" si="25"/>
        <v>1.752723827569872</v>
      </c>
      <c r="Q59" s="177">
        <f t="shared" si="26"/>
        <v>0.42113993134695632</v>
      </c>
      <c r="R59" s="177">
        <f t="shared" si="27"/>
        <v>0.4595588235294118</v>
      </c>
    </row>
    <row r="60" spans="3:18" x14ac:dyDescent="0.25">
      <c r="C60" s="174">
        <v>54</v>
      </c>
      <c r="D60" s="5">
        <f t="shared" si="28"/>
        <v>31.44</v>
      </c>
      <c r="E60" s="451">
        <f t="shared" si="15"/>
        <v>19.584</v>
      </c>
      <c r="F60" s="221">
        <f t="shared" si="16"/>
        <v>0.38381937911571024</v>
      </c>
      <c r="G60" s="176">
        <f t="shared" si="17"/>
        <v>8.1454148635936026</v>
      </c>
      <c r="H60" s="221">
        <f t="shared" si="18"/>
        <v>0.50908842897460016</v>
      </c>
      <c r="I60" s="451">
        <f t="shared" si="19"/>
        <v>51.024000000000001</v>
      </c>
      <c r="J60" s="176">
        <f t="shared" si="20"/>
        <v>0.58928858509759574</v>
      </c>
      <c r="K60" s="176">
        <f t="shared" si="21"/>
        <v>0.56229826822289664</v>
      </c>
      <c r="L60" s="176">
        <f t="shared" si="22"/>
        <v>0.90270922962254252</v>
      </c>
      <c r="M60" s="451">
        <f t="shared" si="14"/>
        <v>350</v>
      </c>
      <c r="N60" s="201">
        <f t="shared" si="23"/>
        <v>350</v>
      </c>
      <c r="O60" s="221">
        <f t="shared" si="24"/>
        <v>1.1492648837521839</v>
      </c>
      <c r="P60" s="177">
        <f t="shared" si="25"/>
        <v>1.7605160596693994</v>
      </c>
      <c r="Q60" s="177">
        <f t="shared" si="26"/>
        <v>0.42489284977855907</v>
      </c>
      <c r="R60" s="177">
        <f t="shared" si="27"/>
        <v>0.4595588235294118</v>
      </c>
    </row>
    <row r="61" spans="3:18" x14ac:dyDescent="0.25">
      <c r="C61" s="174">
        <v>55</v>
      </c>
      <c r="D61" s="5">
        <f t="shared" si="28"/>
        <v>31.8</v>
      </c>
      <c r="E61" s="451">
        <f t="shared" si="15"/>
        <v>19.584</v>
      </c>
      <c r="F61" s="221">
        <f t="shared" si="16"/>
        <v>0.38113031293787947</v>
      </c>
      <c r="G61" s="176">
        <f t="shared" si="17"/>
        <v>8.1809621672115824</v>
      </c>
      <c r="H61" s="221">
        <f t="shared" si="18"/>
        <v>0.5113101354507239</v>
      </c>
      <c r="I61" s="451">
        <f t="shared" si="19"/>
        <v>51.384</v>
      </c>
      <c r="J61" s="176">
        <f t="shared" si="20"/>
        <v>0.58672805250681692</v>
      </c>
      <c r="K61" s="176">
        <f t="shared" si="21"/>
        <v>0.55351703066680846</v>
      </c>
      <c r="L61" s="176">
        <f t="shared" si="22"/>
        <v>0.89878684513911911</v>
      </c>
      <c r="M61" s="451">
        <f t="shared" si="14"/>
        <v>350</v>
      </c>
      <c r="N61" s="201">
        <f t="shared" si="23"/>
        <v>350</v>
      </c>
      <c r="O61" s="221">
        <f t="shared" si="24"/>
        <v>1.1542803763261493</v>
      </c>
      <c r="P61" s="177">
        <f t="shared" si="25"/>
        <v>1.768199105891773</v>
      </c>
      <c r="Q61" s="177">
        <f t="shared" si="26"/>
        <v>0.42860948116734648</v>
      </c>
      <c r="R61" s="177">
        <f t="shared" si="27"/>
        <v>0.4595588235294118</v>
      </c>
    </row>
    <row r="62" spans="3:18" x14ac:dyDescent="0.25">
      <c r="C62" s="174">
        <v>56</v>
      </c>
      <c r="D62" s="5">
        <f t="shared" si="28"/>
        <v>32.160000000000004</v>
      </c>
      <c r="E62" s="451">
        <f t="shared" si="15"/>
        <v>19.584</v>
      </c>
      <c r="F62" s="221">
        <f t="shared" si="16"/>
        <v>0.3784786641929499</v>
      </c>
      <c r="G62" s="176">
        <f t="shared" si="17"/>
        <v>8.2160148423005577</v>
      </c>
      <c r="H62" s="221">
        <f t="shared" si="18"/>
        <v>0.51350092764378485</v>
      </c>
      <c r="I62" s="451">
        <f t="shared" si="19"/>
        <v>51.744</v>
      </c>
      <c r="J62" s="176">
        <f t="shared" si="20"/>
        <v>0.58422484527254792</v>
      </c>
      <c r="K62" s="176">
        <f t="shared" si="21"/>
        <v>0.54498586312737674</v>
      </c>
      <c r="L62" s="176">
        <f t="shared" si="22"/>
        <v>0.89495227523368259</v>
      </c>
      <c r="M62" s="451">
        <f t="shared" si="14"/>
        <v>350</v>
      </c>
      <c r="N62" s="201">
        <f t="shared" si="23"/>
        <v>350</v>
      </c>
      <c r="O62" s="221">
        <f t="shared" si="24"/>
        <v>1.1592260800424066</v>
      </c>
      <c r="P62" s="177">
        <f t="shared" si="25"/>
        <v>1.7757752451630002</v>
      </c>
      <c r="Q62" s="177">
        <f t="shared" si="26"/>
        <v>0.43229024506219615</v>
      </c>
      <c r="R62" s="177">
        <f t="shared" si="27"/>
        <v>0.4595588235294118</v>
      </c>
    </row>
    <row r="63" spans="3:18" x14ac:dyDescent="0.25">
      <c r="C63" s="174">
        <v>57</v>
      </c>
      <c r="D63" s="5">
        <f t="shared" si="28"/>
        <v>32.519999999999996</v>
      </c>
      <c r="E63" s="451">
        <f t="shared" si="15"/>
        <v>19.584</v>
      </c>
      <c r="F63" s="221">
        <f t="shared" si="16"/>
        <v>0.37586365730078303</v>
      </c>
      <c r="G63" s="176">
        <f t="shared" si="17"/>
        <v>8.2505831414094875</v>
      </c>
      <c r="H63" s="221">
        <f t="shared" si="18"/>
        <v>0.51566144633809297</v>
      </c>
      <c r="I63" s="451">
        <f t="shared" si="19"/>
        <v>52.103999999999999</v>
      </c>
      <c r="J63" s="176">
        <f t="shared" si="20"/>
        <v>0.58177705960066151</v>
      </c>
      <c r="K63" s="176">
        <f t="shared" si="21"/>
        <v>0.53669470442865463</v>
      </c>
      <c r="L63" s="176">
        <f t="shared" si="22"/>
        <v>0.89120260355493486</v>
      </c>
      <c r="M63" s="451">
        <f t="shared" si="14"/>
        <v>350</v>
      </c>
      <c r="N63" s="201">
        <f t="shared" si="23"/>
        <v>350</v>
      </c>
      <c r="O63" s="221">
        <f t="shared" si="24"/>
        <v>1.164103441468711</v>
      </c>
      <c r="P63" s="177">
        <f t="shared" si="25"/>
        <v>1.7832466934263345</v>
      </c>
      <c r="Q63" s="177">
        <f t="shared" si="26"/>
        <v>0.4359355586891121</v>
      </c>
      <c r="R63" s="177">
        <f t="shared" si="27"/>
        <v>0.4595588235294118</v>
      </c>
    </row>
    <row r="64" spans="3:18" x14ac:dyDescent="0.25">
      <c r="C64" s="174">
        <v>58</v>
      </c>
      <c r="D64" s="5">
        <f t="shared" si="28"/>
        <v>32.879999999999995</v>
      </c>
      <c r="E64" s="451">
        <f t="shared" si="15"/>
        <v>19.584</v>
      </c>
      <c r="F64" s="221">
        <f t="shared" si="16"/>
        <v>0.37328453796889294</v>
      </c>
      <c r="G64" s="176">
        <f t="shared" si="17"/>
        <v>8.2846770356816091</v>
      </c>
      <c r="H64" s="221">
        <f t="shared" si="18"/>
        <v>0.51779231473010057</v>
      </c>
      <c r="I64" s="451">
        <f t="shared" si="19"/>
        <v>52.463999999999999</v>
      </c>
      <c r="J64" s="176">
        <f t="shared" si="20"/>
        <v>0.57938287507487463</v>
      </c>
      <c r="K64" s="176">
        <f t="shared" si="21"/>
        <v>0.5286340101048127</v>
      </c>
      <c r="L64" s="176">
        <f t="shared" si="22"/>
        <v>0.88753504147499185</v>
      </c>
      <c r="M64" s="451">
        <f t="shared" si="14"/>
        <v>350</v>
      </c>
      <c r="N64" s="201">
        <f t="shared" si="23"/>
        <v>350</v>
      </c>
      <c r="O64" s="221">
        <f t="shared" si="24"/>
        <v>1.1689138674683046</v>
      </c>
      <c r="P64" s="177">
        <f t="shared" si="25"/>
        <v>1.790615605803163</v>
      </c>
      <c r="Q64" s="177">
        <f t="shared" si="26"/>
        <v>0.43954583671498004</v>
      </c>
      <c r="R64" s="177">
        <f t="shared" si="27"/>
        <v>0.4595588235294118</v>
      </c>
    </row>
    <row r="65" spans="3:18" x14ac:dyDescent="0.25">
      <c r="C65" s="174">
        <v>59</v>
      </c>
      <c r="D65" s="5">
        <f t="shared" si="28"/>
        <v>33.239999999999995</v>
      </c>
      <c r="E65" s="451">
        <f t="shared" si="15"/>
        <v>19.584</v>
      </c>
      <c r="F65" s="221">
        <f t="shared" si="16"/>
        <v>0.37074057246706044</v>
      </c>
      <c r="G65" s="176">
        <f t="shared" si="17"/>
        <v>8.3183062244434343</v>
      </c>
      <c r="H65" s="221">
        <f t="shared" si="18"/>
        <v>0.51989413902771464</v>
      </c>
      <c r="I65" s="451">
        <f t="shared" si="19"/>
        <v>52.823999999999998</v>
      </c>
      <c r="J65" s="176">
        <f t="shared" si="20"/>
        <v>0.57704055014170408</v>
      </c>
      <c r="K65" s="176">
        <f t="shared" si="21"/>
        <v>0.52079472034449836</v>
      </c>
      <c r="L65" s="176">
        <f t="shared" si="22"/>
        <v>0.88394692117295359</v>
      </c>
      <c r="M65" s="451">
        <f t="shared" si="14"/>
        <v>350</v>
      </c>
      <c r="N65" s="201">
        <f t="shared" si="23"/>
        <v>350</v>
      </c>
      <c r="O65" s="221">
        <f t="shared" si="24"/>
        <v>1.1736587265528655</v>
      </c>
      <c r="P65" s="177">
        <f t="shared" si="25"/>
        <v>1.7978840786655415</v>
      </c>
      <c r="Q65" s="177">
        <f t="shared" si="26"/>
        <v>0.44312149103381693</v>
      </c>
      <c r="R65" s="177">
        <f t="shared" si="27"/>
        <v>0.4595588235294118</v>
      </c>
    </row>
    <row r="66" spans="3:18" x14ac:dyDescent="0.25">
      <c r="C66" s="174">
        <v>60</v>
      </c>
      <c r="D66" s="5">
        <f t="shared" si="28"/>
        <v>33.599999999999994</v>
      </c>
      <c r="E66" s="451">
        <f t="shared" si="15"/>
        <v>19.584</v>
      </c>
      <c r="F66" s="221">
        <f t="shared" si="16"/>
        <v>0.36823104693140796</v>
      </c>
      <c r="G66" s="176">
        <f t="shared" si="17"/>
        <v>8.3514801444043307</v>
      </c>
      <c r="H66" s="221">
        <f t="shared" si="18"/>
        <v>0.52196750902527067</v>
      </c>
      <c r="I66" s="451">
        <f t="shared" si="19"/>
        <v>53.183999999999997</v>
      </c>
      <c r="J66" s="176">
        <f t="shared" si="20"/>
        <v>0.57474841788567288</v>
      </c>
      <c r="K66" s="176">
        <f t="shared" si="21"/>
        <v>0.51316823025506519</v>
      </c>
      <c r="L66" s="176">
        <f t="shared" si="22"/>
        <v>0.88043568916310189</v>
      </c>
      <c r="M66" s="451">
        <f t="shared" si="14"/>
        <v>350</v>
      </c>
      <c r="N66" s="201">
        <f t="shared" si="23"/>
        <v>350</v>
      </c>
      <c r="O66" s="221">
        <f t="shared" si="24"/>
        <v>1.1783393501805053</v>
      </c>
      <c r="P66" s="177">
        <f t="shared" si="25"/>
        <v>1.8050541516245486</v>
      </c>
      <c r="Q66" s="177">
        <f t="shared" si="26"/>
        <v>0.44666293057383766</v>
      </c>
      <c r="R66" s="177">
        <f t="shared" si="27"/>
        <v>0.4595588235294118</v>
      </c>
    </row>
    <row r="67" spans="3:18" x14ac:dyDescent="0.25">
      <c r="C67" s="174">
        <v>61</v>
      </c>
      <c r="D67" s="5">
        <f t="shared" si="28"/>
        <v>33.96</v>
      </c>
      <c r="E67" s="451">
        <f t="shared" si="15"/>
        <v>19.584</v>
      </c>
      <c r="F67" s="221">
        <f t="shared" si="16"/>
        <v>0.36575526669654862</v>
      </c>
      <c r="G67" s="176">
        <f t="shared" si="17"/>
        <v>8.3842079784849837</v>
      </c>
      <c r="H67" s="221">
        <f t="shared" si="18"/>
        <v>0.52401299865531148</v>
      </c>
      <c r="I67" s="451">
        <f t="shared" si="19"/>
        <v>53.543999999999997</v>
      </c>
      <c r="J67" s="176">
        <f t="shared" si="20"/>
        <v>0.57250488207323236</v>
      </c>
      <c r="K67" s="176">
        <f t="shared" si="21"/>
        <v>0.50574636225550562</v>
      </c>
      <c r="L67" s="176">
        <f t="shared" si="22"/>
        <v>0.87699890023473104</v>
      </c>
      <c r="M67" s="451">
        <f t="shared" si="14"/>
        <v>350</v>
      </c>
      <c r="N67" s="201">
        <f t="shared" si="23"/>
        <v>350</v>
      </c>
      <c r="O67" s="221">
        <f t="shared" si="24"/>
        <v>1.1829570340014088</v>
      </c>
      <c r="P67" s="177">
        <f t="shared" si="25"/>
        <v>1.8121278094384328</v>
      </c>
      <c r="Q67" s="177">
        <f t="shared" si="26"/>
        <v>0.45017056112379927</v>
      </c>
      <c r="R67" s="177">
        <f t="shared" si="27"/>
        <v>0.4595588235294118</v>
      </c>
    </row>
    <row r="68" spans="3:18" x14ac:dyDescent="0.25">
      <c r="C68" s="174">
        <v>62</v>
      </c>
      <c r="D68" s="5">
        <f t="shared" si="28"/>
        <v>34.32</v>
      </c>
      <c r="E68" s="451">
        <f t="shared" si="15"/>
        <v>19.584</v>
      </c>
      <c r="F68" s="221">
        <f t="shared" si="16"/>
        <v>0.36331255565449688</v>
      </c>
      <c r="G68" s="176">
        <f t="shared" si="17"/>
        <v>8.4164986642920745</v>
      </c>
      <c r="H68" s="221">
        <f t="shared" si="18"/>
        <v>0.52603116651825466</v>
      </c>
      <c r="I68" s="451">
        <f t="shared" si="19"/>
        <v>53.903999999999996</v>
      </c>
      <c r="J68" s="176">
        <f t="shared" si="20"/>
        <v>0.57030841344566829</v>
      </c>
      <c r="K68" s="176">
        <f t="shared" si="21"/>
        <v>0.49852134042453522</v>
      </c>
      <c r="L68" s="176">
        <f t="shared" si="22"/>
        <v>0.87363421177338907</v>
      </c>
      <c r="M68" s="451">
        <f t="shared" si="14"/>
        <v>350</v>
      </c>
      <c r="N68" s="201">
        <f t="shared" si="23"/>
        <v>350</v>
      </c>
      <c r="O68" s="221">
        <f t="shared" si="24"/>
        <v>1.1875130390535555</v>
      </c>
      <c r="P68" s="177">
        <f t="shared" si="25"/>
        <v>1.8191069838442948</v>
      </c>
      <c r="Q68" s="177">
        <f t="shared" si="26"/>
        <v>0.45364478517718199</v>
      </c>
      <c r="R68" s="177">
        <f t="shared" si="27"/>
        <v>0.4595588235294118</v>
      </c>
    </row>
    <row r="69" spans="3:18" x14ac:dyDescent="0.25">
      <c r="C69" s="174">
        <v>63</v>
      </c>
      <c r="D69" s="5">
        <f t="shared" si="28"/>
        <v>34.68</v>
      </c>
      <c r="E69" s="451">
        <f t="shared" si="15"/>
        <v>19.584</v>
      </c>
      <c r="F69" s="221">
        <f t="shared" si="16"/>
        <v>0.36090225563909778</v>
      </c>
      <c r="G69" s="176">
        <f t="shared" si="17"/>
        <v>8.4483609022556401</v>
      </c>
      <c r="H69" s="221">
        <f t="shared" si="18"/>
        <v>0.5280225563909775</v>
      </c>
      <c r="I69" s="451">
        <f t="shared" si="19"/>
        <v>54.263999999999996</v>
      </c>
      <c r="J69" s="176">
        <f t="shared" si="20"/>
        <v>0.56815754624289805</v>
      </c>
      <c r="K69" s="176">
        <f t="shared" si="21"/>
        <v>0.49148576664610549</v>
      </c>
      <c r="L69" s="176">
        <f t="shared" si="22"/>
        <v>0.87033937843581199</v>
      </c>
      <c r="M69" s="451">
        <f t="shared" si="14"/>
        <v>350</v>
      </c>
      <c r="N69" s="201">
        <f t="shared" si="23"/>
        <v>350</v>
      </c>
      <c r="O69" s="221">
        <f t="shared" si="24"/>
        <v>1.1920085929108486</v>
      </c>
      <c r="P69" s="177">
        <f t="shared" si="25"/>
        <v>1.8259935553168638</v>
      </c>
      <c r="Q69" s="177">
        <f t="shared" si="26"/>
        <v>0.45708600179288184</v>
      </c>
      <c r="R69" s="177">
        <f t="shared" si="27"/>
        <v>0.4595588235294118</v>
      </c>
    </row>
    <row r="70" spans="3:18" x14ac:dyDescent="0.25">
      <c r="C70" s="174">
        <v>64</v>
      </c>
      <c r="D70" s="5">
        <f t="shared" si="28"/>
        <v>35.04</v>
      </c>
      <c r="E70" s="451">
        <f t="shared" ref="E70:E106" si="29">(Vout+Vfwd1)*Nps</f>
        <v>19.584</v>
      </c>
      <c r="F70" s="221">
        <f t="shared" ref="F70:F106" si="30">(Vout+Vfwd1)*Nps/((Vout+Vfwd1)*Nps+D70)</f>
        <v>0.35852372583479791</v>
      </c>
      <c r="G70" s="176">
        <f t="shared" ref="G70:G101" si="31">F70*D70*Isw_max*0.5*Efficiency</f>
        <v>8.4798031634446396</v>
      </c>
      <c r="H70" s="221">
        <f t="shared" ref="H70:H101" si="32">G70/Vout</f>
        <v>0.52998769771528997</v>
      </c>
      <c r="I70" s="451">
        <f t="shared" ref="I70:I106" si="33">(Vout+Vfwd1)*Nps+D70</f>
        <v>54.623999999999995</v>
      </c>
      <c r="J70" s="176">
        <f t="shared" ref="J70:J106" si="34">MIN(2*Vout*Iout/(Efficiency*D70*F70), 1.35)</f>
        <v>0.56605087494155448</v>
      </c>
      <c r="K70" s="176">
        <f t="shared" ref="K70:K101" si="35">L*J70/D70*1000000</f>
        <v>0.48463259840886519</v>
      </c>
      <c r="L70" s="176">
        <f t="shared" ref="L70:L106" si="36">L*J70/((Vout+Vfwd1)*Nps)*1000000</f>
        <v>0.86711224715311663</v>
      </c>
      <c r="M70" s="451">
        <f t="shared" si="14"/>
        <v>350</v>
      </c>
      <c r="N70" s="201">
        <f t="shared" ref="N70:N106" si="37">IF(1/((350000*L)*(1/D70+1/E70))&gt;Isw_min, 350, 0.001/((Isw_min*L)*(1/D70+1/E70)))</f>
        <v>350</v>
      </c>
      <c r="O70" s="221">
        <f t="shared" ref="O70:O101" si="38">1/((N70*1000*L)*(1/D70+1/E70))</f>
        <v>1.1964448907858398</v>
      </c>
      <c r="P70" s="177">
        <f t="shared" ref="P70:P101" si="39">L*O70/E70*1000000</f>
        <v>1.8327893547577203</v>
      </c>
      <c r="Q70" s="177">
        <f t="shared" ref="Q70:Q101" si="40">0.5*P70*O70*Nps*N70/1000</f>
        <v>0.46049460647117563</v>
      </c>
      <c r="R70" s="177">
        <f t="shared" ref="R70:R106" si="41">L*Isw_min/E70*1000000</f>
        <v>0.4595588235294118</v>
      </c>
    </row>
    <row r="71" spans="3:18" x14ac:dyDescent="0.25">
      <c r="C71" s="174">
        <v>65</v>
      </c>
      <c r="D71" s="5">
        <f t="shared" ref="D71:D102" si="42">C71/100*(VIN_max-VIN_min)+VIN_min</f>
        <v>35.400000000000006</v>
      </c>
      <c r="E71" s="451">
        <f t="shared" si="29"/>
        <v>19.584</v>
      </c>
      <c r="F71" s="221">
        <f t="shared" si="30"/>
        <v>0.35617634220864247</v>
      </c>
      <c r="G71" s="176">
        <f t="shared" si="31"/>
        <v>8.5108336970755136</v>
      </c>
      <c r="H71" s="221">
        <f t="shared" si="32"/>
        <v>0.5319271060672196</v>
      </c>
      <c r="I71" s="451">
        <f t="shared" si="33"/>
        <v>54.984000000000009</v>
      </c>
      <c r="J71" s="176">
        <f t="shared" si="34"/>
        <v>0.56398705119210268</v>
      </c>
      <c r="K71" s="176">
        <f t="shared" si="35"/>
        <v>0.47795512812890051</v>
      </c>
      <c r="L71" s="176">
        <f t="shared" si="36"/>
        <v>0.86395075243888275</v>
      </c>
      <c r="M71" s="451">
        <f t="shared" ref="M71:M106" si="43">MIN(1/(K71+L71)*1000, 350)</f>
        <v>350</v>
      </c>
      <c r="N71" s="201">
        <f t="shared" si="37"/>
        <v>350</v>
      </c>
      <c r="O71" s="221">
        <f t="shared" si="38"/>
        <v>1.2008230965891376</v>
      </c>
      <c r="P71" s="177">
        <f t="shared" si="39"/>
        <v>1.8394961651181641</v>
      </c>
      <c r="Q71" s="177">
        <f t="shared" si="40"/>
        <v>0.46387099104381774</v>
      </c>
      <c r="R71" s="177">
        <f t="shared" si="41"/>
        <v>0.4595588235294118</v>
      </c>
    </row>
    <row r="72" spans="3:18" x14ac:dyDescent="0.25">
      <c r="C72" s="174">
        <v>66</v>
      </c>
      <c r="D72" s="5">
        <f t="shared" si="42"/>
        <v>35.760000000000005</v>
      </c>
      <c r="E72" s="451">
        <f t="shared" si="29"/>
        <v>19.584</v>
      </c>
      <c r="F72" s="221">
        <f t="shared" si="30"/>
        <v>0.35385949696444052</v>
      </c>
      <c r="G72" s="176">
        <f t="shared" si="31"/>
        <v>8.5414605377276676</v>
      </c>
      <c r="H72" s="221">
        <f t="shared" si="32"/>
        <v>0.53384128360797922</v>
      </c>
      <c r="I72" s="451">
        <f t="shared" si="33"/>
        <v>55.344000000000008</v>
      </c>
      <c r="J72" s="176">
        <f t="shared" si="34"/>
        <v>0.56196478094096203</v>
      </c>
      <c r="K72" s="176">
        <f t="shared" si="35"/>
        <v>0.47144696387664592</v>
      </c>
      <c r="L72" s="176">
        <f t="shared" si="36"/>
        <v>0.86085291198064029</v>
      </c>
      <c r="M72" s="451">
        <f t="shared" si="43"/>
        <v>350</v>
      </c>
      <c r="N72" s="201">
        <f t="shared" si="37"/>
        <v>350</v>
      </c>
      <c r="O72" s="221">
        <f t="shared" si="38"/>
        <v>1.2051443439474665</v>
      </c>
      <c r="P72" s="177">
        <f t="shared" si="39"/>
        <v>1.8461157229587417</v>
      </c>
      <c r="Q72" s="177">
        <f t="shared" si="40"/>
        <v>0.46721554357720529</v>
      </c>
      <c r="R72" s="177">
        <f t="shared" si="41"/>
        <v>0.4595588235294118</v>
      </c>
    </row>
    <row r="73" spans="3:18" x14ac:dyDescent="0.25">
      <c r="C73" s="174">
        <v>67</v>
      </c>
      <c r="D73" s="5">
        <f t="shared" si="42"/>
        <v>36.120000000000005</v>
      </c>
      <c r="E73" s="451">
        <f t="shared" si="29"/>
        <v>19.584</v>
      </c>
      <c r="F73" s="221">
        <f t="shared" si="30"/>
        <v>0.35157259801809559</v>
      </c>
      <c r="G73" s="176">
        <f t="shared" si="31"/>
        <v>8.571691512279191</v>
      </c>
      <c r="H73" s="221">
        <f t="shared" si="32"/>
        <v>0.53573071951744944</v>
      </c>
      <c r="I73" s="451">
        <f t="shared" si="33"/>
        <v>55.704000000000008</v>
      </c>
      <c r="J73" s="176">
        <f t="shared" si="34"/>
        <v>0.5599828217247278</v>
      </c>
      <c r="K73" s="176">
        <f t="shared" si="35"/>
        <v>0.46510201139927554</v>
      </c>
      <c r="L73" s="176">
        <f t="shared" si="36"/>
        <v>0.85781682249498747</v>
      </c>
      <c r="M73" s="451">
        <f t="shared" si="43"/>
        <v>350</v>
      </c>
      <c r="N73" s="201">
        <f t="shared" si="37"/>
        <v>350</v>
      </c>
      <c r="O73" s="221">
        <f t="shared" si="38"/>
        <v>1.2094097371822492</v>
      </c>
      <c r="P73" s="177">
        <f t="shared" si="39"/>
        <v>1.8526497199482985</v>
      </c>
      <c r="Q73" s="177">
        <f t="shared" si="40"/>
        <v>0.47052864828762225</v>
      </c>
      <c r="R73" s="177">
        <f t="shared" si="41"/>
        <v>0.4595588235294118</v>
      </c>
    </row>
    <row r="74" spans="3:18" x14ac:dyDescent="0.25">
      <c r="C74" s="174">
        <v>68</v>
      </c>
      <c r="D74" s="5">
        <f t="shared" si="42"/>
        <v>36.480000000000004</v>
      </c>
      <c r="E74" s="451">
        <f t="shared" si="29"/>
        <v>19.584</v>
      </c>
      <c r="F74" s="221">
        <f t="shared" si="30"/>
        <v>0.34931506849315064</v>
      </c>
      <c r="G74" s="176">
        <f t="shared" si="31"/>
        <v>8.6015342465753424</v>
      </c>
      <c r="H74" s="221">
        <f t="shared" si="32"/>
        <v>0.5375958904109589</v>
      </c>
      <c r="I74" s="451">
        <f t="shared" si="33"/>
        <v>56.064000000000007</v>
      </c>
      <c r="J74" s="176">
        <f t="shared" si="34"/>
        <v>0.55803998012460343</v>
      </c>
      <c r="K74" s="176">
        <f t="shared" si="35"/>
        <v>0.45891445733931202</v>
      </c>
      <c r="L74" s="176">
        <f t="shared" si="36"/>
        <v>0.85484065582813029</v>
      </c>
      <c r="M74" s="451">
        <f t="shared" si="43"/>
        <v>350</v>
      </c>
      <c r="N74" s="201">
        <f t="shared" si="37"/>
        <v>350</v>
      </c>
      <c r="O74" s="221">
        <f t="shared" si="38"/>
        <v>1.2136203522504891</v>
      </c>
      <c r="P74" s="177">
        <f t="shared" si="39"/>
        <v>1.8590998043052835</v>
      </c>
      <c r="Q74" s="177">
        <f t="shared" si="40"/>
        <v>0.47381068546765664</v>
      </c>
      <c r="R74" s="177">
        <f t="shared" si="41"/>
        <v>0.4595588235294118</v>
      </c>
    </row>
    <row r="75" spans="3:18" x14ac:dyDescent="0.25">
      <c r="C75" s="174">
        <v>69</v>
      </c>
      <c r="D75" s="5">
        <f t="shared" si="42"/>
        <v>36.839999999999996</v>
      </c>
      <c r="E75" s="451">
        <f t="shared" si="29"/>
        <v>19.584</v>
      </c>
      <c r="F75" s="221">
        <f t="shared" si="30"/>
        <v>0.34708634623564444</v>
      </c>
      <c r="G75" s="176">
        <f t="shared" si="31"/>
        <v>8.6309961718417689</v>
      </c>
      <c r="H75" s="221">
        <f t="shared" si="32"/>
        <v>0.53943726074011056</v>
      </c>
      <c r="I75" s="451">
        <f t="shared" si="33"/>
        <v>56.423999999999992</v>
      </c>
      <c r="J75" s="176">
        <f t="shared" si="34"/>
        <v>0.55613510937008415</v>
      </c>
      <c r="K75" s="176">
        <f t="shared" si="35"/>
        <v>0.4528787535587005</v>
      </c>
      <c r="L75" s="176">
        <f t="shared" si="36"/>
        <v>0.8519226552850554</v>
      </c>
      <c r="M75" s="451">
        <f t="shared" si="43"/>
        <v>350</v>
      </c>
      <c r="N75" s="201">
        <f t="shared" si="37"/>
        <v>350</v>
      </c>
      <c r="O75" s="221">
        <f t="shared" si="38"/>
        <v>1.2177772376496323</v>
      </c>
      <c r="P75" s="177">
        <f t="shared" si="39"/>
        <v>1.8654675821838729</v>
      </c>
      <c r="Q75" s="177">
        <f t="shared" si="40"/>
        <v>0.47706203142293119</v>
      </c>
      <c r="R75" s="177">
        <f t="shared" si="41"/>
        <v>0.4595588235294118</v>
      </c>
    </row>
    <row r="76" spans="3:18" x14ac:dyDescent="0.25">
      <c r="C76" s="174">
        <v>70</v>
      </c>
      <c r="D76" s="5">
        <f t="shared" si="42"/>
        <v>37.200000000000003</v>
      </c>
      <c r="E76" s="451">
        <f t="shared" si="29"/>
        <v>19.584</v>
      </c>
      <c r="F76" s="221">
        <f t="shared" si="30"/>
        <v>0.34488588334742176</v>
      </c>
      <c r="G76" s="176">
        <f t="shared" si="31"/>
        <v>8.6600845308537622</v>
      </c>
      <c r="H76" s="221">
        <f t="shared" si="32"/>
        <v>0.54125528317836014</v>
      </c>
      <c r="I76" s="451">
        <f t="shared" si="33"/>
        <v>56.784000000000006</v>
      </c>
      <c r="J76" s="176">
        <f t="shared" si="34"/>
        <v>0.5542671070817814</v>
      </c>
      <c r="K76" s="176">
        <f t="shared" si="35"/>
        <v>0.44698960248530756</v>
      </c>
      <c r="L76" s="176">
        <f t="shared" si="36"/>
        <v>0.84906113217184664</v>
      </c>
      <c r="M76" s="451">
        <f t="shared" si="43"/>
        <v>350</v>
      </c>
      <c r="N76" s="201">
        <f t="shared" si="37"/>
        <v>350</v>
      </c>
      <c r="O76" s="221">
        <f t="shared" si="38"/>
        <v>1.2218814152880089</v>
      </c>
      <c r="P76" s="177">
        <f t="shared" si="39"/>
        <v>1.8717546190073664</v>
      </c>
      <c r="Q76" s="177">
        <f t="shared" si="40"/>
        <v>0.48028305841836355</v>
      </c>
      <c r="R76" s="177">
        <f t="shared" si="41"/>
        <v>0.4595588235294118</v>
      </c>
    </row>
    <row r="77" spans="3:18" x14ac:dyDescent="0.25">
      <c r="C77" s="174">
        <v>71</v>
      </c>
      <c r="D77" s="5">
        <f t="shared" si="42"/>
        <v>37.56</v>
      </c>
      <c r="E77" s="451">
        <f t="shared" si="29"/>
        <v>19.584</v>
      </c>
      <c r="F77" s="221">
        <f t="shared" si="30"/>
        <v>0.34271314573708522</v>
      </c>
      <c r="G77" s="176">
        <f t="shared" si="31"/>
        <v>8.688806383872322</v>
      </c>
      <c r="H77" s="221">
        <f t="shared" si="32"/>
        <v>0.54305039899202012</v>
      </c>
      <c r="I77" s="451">
        <f t="shared" si="33"/>
        <v>57.144000000000005</v>
      </c>
      <c r="J77" s="176">
        <f t="shared" si="34"/>
        <v>0.55243491314405302</v>
      </c>
      <c r="K77" s="176">
        <f t="shared" si="35"/>
        <v>0.44124194340579309</v>
      </c>
      <c r="L77" s="176">
        <f t="shared" si="36"/>
        <v>0.84625446253684589</v>
      </c>
      <c r="M77" s="451">
        <f t="shared" si="43"/>
        <v>350</v>
      </c>
      <c r="N77" s="201">
        <f t="shared" si="37"/>
        <v>350</v>
      </c>
      <c r="O77" s="221">
        <f t="shared" si="38"/>
        <v>1.2259338813223737</v>
      </c>
      <c r="P77" s="177">
        <f t="shared" si="39"/>
        <v>1.8779624407511852</v>
      </c>
      <c r="Q77" s="177">
        <f t="shared" si="40"/>
        <v>0.48347413463322508</v>
      </c>
      <c r="R77" s="177">
        <f t="shared" si="41"/>
        <v>0.4595588235294118</v>
      </c>
    </row>
    <row r="78" spans="3:18" x14ac:dyDescent="0.25">
      <c r="C78" s="174">
        <v>72</v>
      </c>
      <c r="D78" s="5">
        <f t="shared" si="42"/>
        <v>37.92</v>
      </c>
      <c r="E78" s="451">
        <f t="shared" si="29"/>
        <v>19.584</v>
      </c>
      <c r="F78" s="221">
        <f t="shared" si="30"/>
        <v>0.34056761268781299</v>
      </c>
      <c r="G78" s="176">
        <f t="shared" si="31"/>
        <v>8.7171686143572611</v>
      </c>
      <c r="H78" s="221">
        <f t="shared" si="32"/>
        <v>0.54482303839732882</v>
      </c>
      <c r="I78" s="451">
        <f t="shared" si="33"/>
        <v>57.504000000000005</v>
      </c>
      <c r="J78" s="176">
        <f t="shared" si="34"/>
        <v>0.55063750769881337</v>
      </c>
      <c r="K78" s="176">
        <f t="shared" si="35"/>
        <v>0.4356309396351371</v>
      </c>
      <c r="L78" s="176">
        <f t="shared" si="36"/>
        <v>0.84350108409744695</v>
      </c>
      <c r="M78" s="451">
        <f t="shared" si="43"/>
        <v>350</v>
      </c>
      <c r="N78" s="201">
        <f t="shared" si="37"/>
        <v>350</v>
      </c>
      <c r="O78" s="221">
        <f t="shared" si="38"/>
        <v>1.2299356069639877</v>
      </c>
      <c r="P78" s="177">
        <f t="shared" si="39"/>
        <v>1.8840925351776772</v>
      </c>
      <c r="Q78" s="177">
        <f t="shared" si="40"/>
        <v>0.48663562412431566</v>
      </c>
      <c r="R78" s="177">
        <f t="shared" si="41"/>
        <v>0.4595588235294118</v>
      </c>
    </row>
    <row r="79" spans="3:18" x14ac:dyDescent="0.25">
      <c r="C79" s="174">
        <v>73</v>
      </c>
      <c r="D79" s="5">
        <f t="shared" si="42"/>
        <v>38.28</v>
      </c>
      <c r="E79" s="451">
        <f t="shared" si="29"/>
        <v>19.584</v>
      </c>
      <c r="F79" s="221">
        <f t="shared" si="30"/>
        <v>0.33844877644131061</v>
      </c>
      <c r="G79" s="176">
        <f t="shared" si="31"/>
        <v>8.7451779344670246</v>
      </c>
      <c r="H79" s="221">
        <f t="shared" si="32"/>
        <v>0.54657362090418904</v>
      </c>
      <c r="I79" s="451">
        <f t="shared" si="33"/>
        <v>57.864000000000004</v>
      </c>
      <c r="J79" s="176">
        <f t="shared" si="34"/>
        <v>0.54887390925254353</v>
      </c>
      <c r="K79" s="176">
        <f t="shared" si="35"/>
        <v>0.43015196649885856</v>
      </c>
      <c r="L79" s="176">
        <f t="shared" si="36"/>
        <v>0.84079949334029347</v>
      </c>
      <c r="M79" s="451">
        <f t="shared" si="43"/>
        <v>350</v>
      </c>
      <c r="N79" s="201">
        <f t="shared" si="37"/>
        <v>350</v>
      </c>
      <c r="O79" s="221">
        <f t="shared" si="38"/>
        <v>1.2338875392546069</v>
      </c>
      <c r="P79" s="177">
        <f t="shared" si="39"/>
        <v>1.890146353024827</v>
      </c>
      <c r="Q79" s="177">
        <f t="shared" si="40"/>
        <v>0.48976788679662336</v>
      </c>
      <c r="R79" s="177">
        <f t="shared" si="41"/>
        <v>0.4595588235294118</v>
      </c>
    </row>
    <row r="80" spans="3:18" x14ac:dyDescent="0.25">
      <c r="C80" s="174">
        <v>74</v>
      </c>
      <c r="D80" s="5">
        <f t="shared" si="42"/>
        <v>38.64</v>
      </c>
      <c r="E80" s="451">
        <f t="shared" si="29"/>
        <v>19.584</v>
      </c>
      <c r="F80" s="221">
        <f t="shared" si="30"/>
        <v>0.33635614179719703</v>
      </c>
      <c r="G80" s="176">
        <f t="shared" si="31"/>
        <v>8.7728408903544928</v>
      </c>
      <c r="H80" s="221">
        <f t="shared" si="32"/>
        <v>0.5483025556471558</v>
      </c>
      <c r="I80" s="451">
        <f t="shared" si="33"/>
        <v>58.224000000000004</v>
      </c>
      <c r="J80" s="176">
        <f t="shared" si="34"/>
        <v>0.5471431728891234</v>
      </c>
      <c r="K80" s="176">
        <f t="shared" si="35"/>
        <v>0.42480060006919518</v>
      </c>
      <c r="L80" s="176">
        <f t="shared" si="36"/>
        <v>0.83814824278358357</v>
      </c>
      <c r="M80" s="451">
        <f t="shared" si="43"/>
        <v>350</v>
      </c>
      <c r="N80" s="201">
        <f t="shared" si="37"/>
        <v>350</v>
      </c>
      <c r="O80" s="221">
        <f t="shared" si="38"/>
        <v>1.2377906018136851</v>
      </c>
      <c r="P80" s="177">
        <f t="shared" si="39"/>
        <v>1.8961253091508656</v>
      </c>
      <c r="Q80" s="177">
        <f t="shared" si="40"/>
        <v>0.49287127838088202</v>
      </c>
      <c r="R80" s="177">
        <f t="shared" si="41"/>
        <v>0.4595588235294118</v>
      </c>
    </row>
    <row r="81" spans="3:18" x14ac:dyDescent="0.25">
      <c r="C81" s="174">
        <v>75</v>
      </c>
      <c r="D81" s="5">
        <f t="shared" si="42"/>
        <v>39</v>
      </c>
      <c r="E81" s="451">
        <f t="shared" si="29"/>
        <v>19.584</v>
      </c>
      <c r="F81" s="221">
        <f t="shared" si="30"/>
        <v>0.33428922572716097</v>
      </c>
      <c r="G81" s="176">
        <f t="shared" si="31"/>
        <v>8.8001638672675124</v>
      </c>
      <c r="H81" s="221">
        <f t="shared" si="32"/>
        <v>0.55001024170421953</v>
      </c>
      <c r="I81" s="451">
        <f t="shared" si="33"/>
        <v>58.584000000000003</v>
      </c>
      <c r="J81" s="176">
        <f t="shared" si="34"/>
        <v>0.54544438858164357</v>
      </c>
      <c r="K81" s="176">
        <f t="shared" si="35"/>
        <v>0.41957260660126433</v>
      </c>
      <c r="L81" s="176">
        <f t="shared" si="36"/>
        <v>0.83554593839099822</v>
      </c>
      <c r="M81" s="451">
        <f t="shared" si="43"/>
        <v>350</v>
      </c>
      <c r="N81" s="201">
        <f t="shared" si="37"/>
        <v>350</v>
      </c>
      <c r="O81" s="221">
        <f t="shared" si="38"/>
        <v>1.2416456955580266</v>
      </c>
      <c r="P81" s="177">
        <f t="shared" si="39"/>
        <v>1.9020307836366832</v>
      </c>
      <c r="Q81" s="177">
        <f t="shared" si="40"/>
        <v>0.49594615041748302</v>
      </c>
      <c r="R81" s="177">
        <f t="shared" si="41"/>
        <v>0.4595588235294118</v>
      </c>
    </row>
    <row r="82" spans="3:18" x14ac:dyDescent="0.25">
      <c r="C82" s="174">
        <v>76</v>
      </c>
      <c r="D82" s="5">
        <f t="shared" si="42"/>
        <v>39.36</v>
      </c>
      <c r="E82" s="451">
        <f t="shared" si="29"/>
        <v>19.584</v>
      </c>
      <c r="F82" s="221">
        <f t="shared" si="30"/>
        <v>0.33224755700325731</v>
      </c>
      <c r="G82" s="176">
        <f t="shared" si="31"/>
        <v>8.82715309446254</v>
      </c>
      <c r="H82" s="221">
        <f t="shared" si="32"/>
        <v>0.55169706840390875</v>
      </c>
      <c r="I82" s="451">
        <f t="shared" si="33"/>
        <v>58.944000000000003</v>
      </c>
      <c r="J82" s="176">
        <f t="shared" si="34"/>
        <v>0.54377667959686138</v>
      </c>
      <c r="K82" s="176">
        <f t="shared" si="35"/>
        <v>0.41446393261955899</v>
      </c>
      <c r="L82" s="176">
        <f t="shared" si="36"/>
        <v>0.83299123712754508</v>
      </c>
      <c r="M82" s="451">
        <f t="shared" si="43"/>
        <v>350</v>
      </c>
      <c r="N82" s="201">
        <f t="shared" si="37"/>
        <v>350</v>
      </c>
      <c r="O82" s="221">
        <f t="shared" si="38"/>
        <v>1.2454536993950676</v>
      </c>
      <c r="P82" s="177">
        <f t="shared" si="39"/>
        <v>1.9078641228478364</v>
      </c>
      <c r="Q82" s="177">
        <f t="shared" si="40"/>
        <v>0.4989928502462323</v>
      </c>
      <c r="R82" s="177">
        <f t="shared" si="41"/>
        <v>0.4595588235294118</v>
      </c>
    </row>
    <row r="83" spans="3:18" x14ac:dyDescent="0.25">
      <c r="C83" s="174">
        <v>77</v>
      </c>
      <c r="D83" s="5">
        <f t="shared" si="42"/>
        <v>39.72</v>
      </c>
      <c r="E83" s="451">
        <f t="shared" si="29"/>
        <v>19.584</v>
      </c>
      <c r="F83" s="221">
        <f t="shared" si="30"/>
        <v>0.33023067583974097</v>
      </c>
      <c r="G83" s="176">
        <f t="shared" si="31"/>
        <v>8.8538146499392951</v>
      </c>
      <c r="H83" s="221">
        <f t="shared" si="32"/>
        <v>0.55336341562120595</v>
      </c>
      <c r="I83" s="451">
        <f t="shared" si="33"/>
        <v>59.304000000000002</v>
      </c>
      <c r="J83" s="176">
        <f t="shared" si="34"/>
        <v>0.54213920098642576</v>
      </c>
      <c r="K83" s="176">
        <f t="shared" si="35"/>
        <v>0.40947069560908295</v>
      </c>
      <c r="L83" s="176">
        <f t="shared" si="36"/>
        <v>0.83048284464832389</v>
      </c>
      <c r="M83" s="451">
        <f t="shared" si="43"/>
        <v>350</v>
      </c>
      <c r="N83" s="201">
        <f t="shared" si="37"/>
        <v>350</v>
      </c>
      <c r="O83" s="221">
        <f t="shared" si="38"/>
        <v>1.2492154708909058</v>
      </c>
      <c r="P83" s="177">
        <f t="shared" si="39"/>
        <v>1.9136266404578826</v>
      </c>
      <c r="Q83" s="177">
        <f t="shared" si="40"/>
        <v>0.50201172100148483</v>
      </c>
      <c r="R83" s="177">
        <f t="shared" si="41"/>
        <v>0.4595588235294118</v>
      </c>
    </row>
    <row r="84" spans="3:18" x14ac:dyDescent="0.25">
      <c r="C84" s="174">
        <v>78</v>
      </c>
      <c r="D84" s="5">
        <f t="shared" si="42"/>
        <v>40.08</v>
      </c>
      <c r="E84" s="451">
        <f t="shared" si="29"/>
        <v>19.584</v>
      </c>
      <c r="F84" s="221">
        <f t="shared" si="30"/>
        <v>0.32823813354786807</v>
      </c>
      <c r="G84" s="176">
        <f t="shared" si="31"/>
        <v>8.8801544650040238</v>
      </c>
      <c r="H84" s="221">
        <f t="shared" si="32"/>
        <v>0.55500965406275149</v>
      </c>
      <c r="I84" s="451">
        <f t="shared" si="33"/>
        <v>59.664000000000001</v>
      </c>
      <c r="J84" s="176">
        <f t="shared" si="34"/>
        <v>0.54053113815941101</v>
      </c>
      <c r="K84" s="176">
        <f t="shared" si="35"/>
        <v>0.40458917526902022</v>
      </c>
      <c r="L84" s="176">
        <f t="shared" si="36"/>
        <v>0.82801951311184285</v>
      </c>
      <c r="M84" s="451">
        <f t="shared" si="43"/>
        <v>350</v>
      </c>
      <c r="N84" s="201">
        <f t="shared" si="37"/>
        <v>350</v>
      </c>
      <c r="O84" s="221">
        <f t="shared" si="38"/>
        <v>1.2529318469141477</v>
      </c>
      <c r="P84" s="177">
        <f t="shared" si="39"/>
        <v>1.9193196184346624</v>
      </c>
      <c r="Q84" s="177">
        <f t="shared" si="40"/>
        <v>0.50500310161221873</v>
      </c>
      <c r="R84" s="177">
        <f t="shared" si="41"/>
        <v>0.4595588235294118</v>
      </c>
    </row>
    <row r="85" spans="3:18" x14ac:dyDescent="0.25">
      <c r="C85" s="174">
        <v>79</v>
      </c>
      <c r="D85" s="5">
        <f t="shared" si="42"/>
        <v>40.44</v>
      </c>
      <c r="E85" s="451">
        <f t="shared" si="29"/>
        <v>19.584</v>
      </c>
      <c r="F85" s="221">
        <f t="shared" si="30"/>
        <v>0.32626949220311874</v>
      </c>
      <c r="G85" s="176">
        <f t="shared" si="31"/>
        <v>8.9061783286685312</v>
      </c>
      <c r="H85" s="221">
        <f t="shared" si="32"/>
        <v>0.5566361455417832</v>
      </c>
      <c r="I85" s="451">
        <f t="shared" si="33"/>
        <v>60.024000000000001</v>
      </c>
      <c r="J85" s="176">
        <f t="shared" si="34"/>
        <v>0.53895170553109695</v>
      </c>
      <c r="K85" s="176">
        <f t="shared" si="35"/>
        <v>0.39981580529013128</v>
      </c>
      <c r="L85" s="176">
        <f t="shared" si="36"/>
        <v>0.82560003911013635</v>
      </c>
      <c r="M85" s="451">
        <f t="shared" si="43"/>
        <v>350</v>
      </c>
      <c r="N85" s="201">
        <f t="shared" si="37"/>
        <v>350</v>
      </c>
      <c r="O85" s="221">
        <f t="shared" si="38"/>
        <v>1.2566036442565831</v>
      </c>
      <c r="P85" s="177">
        <f t="shared" si="39"/>
        <v>1.9249443079910895</v>
      </c>
      <c r="Q85" s="177">
        <f t="shared" si="40"/>
        <v>0.50796732680663959</v>
      </c>
      <c r="R85" s="177">
        <f t="shared" si="41"/>
        <v>0.4595588235294118</v>
      </c>
    </row>
    <row r="86" spans="3:18" x14ac:dyDescent="0.25">
      <c r="C86" s="174">
        <v>80</v>
      </c>
      <c r="D86" s="5">
        <f t="shared" si="42"/>
        <v>40.799999999999997</v>
      </c>
      <c r="E86" s="451">
        <f t="shared" si="29"/>
        <v>19.584</v>
      </c>
      <c r="F86" s="221">
        <f t="shared" si="30"/>
        <v>0.32432432432432434</v>
      </c>
      <c r="G86" s="176">
        <f t="shared" si="31"/>
        <v>8.9318918918918921</v>
      </c>
      <c r="H86" s="221">
        <f t="shared" si="32"/>
        <v>0.55824324324324326</v>
      </c>
      <c r="I86" s="451">
        <f t="shared" si="33"/>
        <v>60.384</v>
      </c>
      <c r="J86" s="176">
        <f t="shared" si="34"/>
        <v>0.5374001452432825</v>
      </c>
      <c r="K86" s="176">
        <f t="shared" si="35"/>
        <v>0.39514716562006075</v>
      </c>
      <c r="L86" s="176">
        <f t="shared" si="36"/>
        <v>0.82322326170845983</v>
      </c>
      <c r="M86" s="451">
        <f t="shared" si="43"/>
        <v>350</v>
      </c>
      <c r="N86" s="201">
        <f t="shared" si="37"/>
        <v>350</v>
      </c>
      <c r="O86" s="221">
        <f t="shared" si="38"/>
        <v>1.2602316602316601</v>
      </c>
      <c r="P86" s="177">
        <f t="shared" si="39"/>
        <v>1.9305019305019302</v>
      </c>
      <c r="Q86" s="177">
        <f t="shared" si="40"/>
        <v>0.51090472712094315</v>
      </c>
      <c r="R86" s="177">
        <f t="shared" si="41"/>
        <v>0.4595588235294118</v>
      </c>
    </row>
    <row r="87" spans="3:18" x14ac:dyDescent="0.25">
      <c r="C87" s="174">
        <v>81</v>
      </c>
      <c r="D87" s="5">
        <f t="shared" si="42"/>
        <v>41.160000000000004</v>
      </c>
      <c r="E87" s="451">
        <f t="shared" si="29"/>
        <v>19.584</v>
      </c>
      <c r="F87" s="221">
        <f t="shared" si="30"/>
        <v>0.32240221256420387</v>
      </c>
      <c r="G87" s="176">
        <f t="shared" si="31"/>
        <v>8.9573006716712769</v>
      </c>
      <c r="H87" s="221">
        <f t="shared" si="32"/>
        <v>0.5598312919794548</v>
      </c>
      <c r="I87" s="451">
        <f t="shared" si="33"/>
        <v>60.744</v>
      </c>
      <c r="J87" s="176">
        <f t="shared" si="34"/>
        <v>0.53587572595175637</v>
      </c>
      <c r="K87" s="176">
        <f t="shared" si="35"/>
        <v>0.39057997518349585</v>
      </c>
      <c r="L87" s="176">
        <f t="shared" si="36"/>
        <v>0.82088806058786223</v>
      </c>
      <c r="M87" s="451">
        <f t="shared" si="43"/>
        <v>350</v>
      </c>
      <c r="N87" s="201">
        <f t="shared" si="37"/>
        <v>350</v>
      </c>
      <c r="O87" s="221">
        <f t="shared" si="38"/>
        <v>1.2638166732516791</v>
      </c>
      <c r="P87" s="177">
        <f t="shared" si="39"/>
        <v>1.9359936783879887</v>
      </c>
      <c r="Q87" s="177">
        <f t="shared" si="40"/>
        <v>0.5138156289118837</v>
      </c>
      <c r="R87" s="177">
        <f t="shared" si="41"/>
        <v>0.4595588235294118</v>
      </c>
    </row>
    <row r="88" spans="3:18" x14ac:dyDescent="0.25">
      <c r="C88" s="174">
        <v>82</v>
      </c>
      <c r="D88" s="5">
        <f t="shared" si="42"/>
        <v>41.519999999999996</v>
      </c>
      <c r="E88" s="451">
        <f t="shared" si="29"/>
        <v>19.584</v>
      </c>
      <c r="F88" s="221">
        <f t="shared" si="30"/>
        <v>0.32050274941084056</v>
      </c>
      <c r="G88" s="176">
        <f t="shared" si="31"/>
        <v>8.9824100549882182</v>
      </c>
      <c r="H88" s="221">
        <f t="shared" si="32"/>
        <v>0.56140062843676364</v>
      </c>
      <c r="I88" s="451">
        <f t="shared" si="33"/>
        <v>61.103999999999999</v>
      </c>
      <c r="J88" s="176">
        <f t="shared" si="34"/>
        <v>0.53437774167684637</v>
      </c>
      <c r="K88" s="176">
        <f t="shared" si="35"/>
        <v>0.38611108502662317</v>
      </c>
      <c r="L88" s="176">
        <f t="shared" si="36"/>
        <v>0.81859335428438484</v>
      </c>
      <c r="M88" s="451">
        <f t="shared" si="43"/>
        <v>350</v>
      </c>
      <c r="N88" s="201">
        <f t="shared" si="37"/>
        <v>350</v>
      </c>
      <c r="O88" s="221">
        <f t="shared" si="38"/>
        <v>1.2673594433845807</v>
      </c>
      <c r="P88" s="177">
        <f t="shared" si="39"/>
        <v>1.9414207159690269</v>
      </c>
      <c r="Q88" s="177">
        <f t="shared" si="40"/>
        <v>0.51670035437281792</v>
      </c>
      <c r="R88" s="177">
        <f t="shared" si="41"/>
        <v>0.4595588235294118</v>
      </c>
    </row>
    <row r="89" spans="3:18" x14ac:dyDescent="0.25">
      <c r="C89" s="174">
        <v>83</v>
      </c>
      <c r="D89" s="5">
        <f t="shared" si="42"/>
        <v>41.879999999999995</v>
      </c>
      <c r="E89" s="451">
        <f t="shared" si="29"/>
        <v>19.584</v>
      </c>
      <c r="F89" s="221">
        <f t="shared" si="30"/>
        <v>0.31862553689964856</v>
      </c>
      <c r="G89" s="176">
        <f t="shared" si="31"/>
        <v>9.0072253026161651</v>
      </c>
      <c r="H89" s="221">
        <f t="shared" si="32"/>
        <v>0.56295158141351032</v>
      </c>
      <c r="I89" s="451">
        <f t="shared" si="33"/>
        <v>61.463999999999999</v>
      </c>
      <c r="J89" s="176">
        <f t="shared" si="34"/>
        <v>0.53290551071325276</v>
      </c>
      <c r="K89" s="176">
        <f t="shared" si="35"/>
        <v>0.38173747185763096</v>
      </c>
      <c r="L89" s="176">
        <f t="shared" si="36"/>
        <v>0.81633809851907602</v>
      </c>
      <c r="M89" s="451">
        <f t="shared" si="43"/>
        <v>350</v>
      </c>
      <c r="N89" s="201">
        <f t="shared" si="37"/>
        <v>350</v>
      </c>
      <c r="O89" s="221">
        <f t="shared" si="38"/>
        <v>1.2708607128911698</v>
      </c>
      <c r="P89" s="177">
        <f t="shared" si="39"/>
        <v>1.9467841802867185</v>
      </c>
      <c r="Q89" s="177">
        <f t="shared" si="40"/>
        <v>0.51955922155293044</v>
      </c>
      <c r="R89" s="177">
        <f t="shared" si="41"/>
        <v>0.4595588235294118</v>
      </c>
    </row>
    <row r="90" spans="3:18" x14ac:dyDescent="0.25">
      <c r="C90" s="174">
        <v>84</v>
      </c>
      <c r="D90" s="5">
        <f t="shared" si="42"/>
        <v>42.239999999999995</v>
      </c>
      <c r="E90" s="451">
        <f t="shared" si="29"/>
        <v>19.584</v>
      </c>
      <c r="F90" s="221">
        <f t="shared" si="30"/>
        <v>0.31677018633540371</v>
      </c>
      <c r="G90" s="176">
        <f t="shared" si="31"/>
        <v>9.0317515527950292</v>
      </c>
      <c r="H90" s="221">
        <f t="shared" si="32"/>
        <v>0.56448447204968932</v>
      </c>
      <c r="I90" s="451">
        <f t="shared" si="33"/>
        <v>61.823999999999998</v>
      </c>
      <c r="J90" s="176">
        <f t="shared" si="34"/>
        <v>0.53145837459562961</v>
      </c>
      <c r="K90" s="176">
        <f t="shared" si="35"/>
        <v>0.37745623195712336</v>
      </c>
      <c r="L90" s="176">
        <f t="shared" si="36"/>
        <v>0.81412128461340327</v>
      </c>
      <c r="M90" s="451">
        <f t="shared" si="43"/>
        <v>350</v>
      </c>
      <c r="N90" s="201">
        <f t="shared" si="37"/>
        <v>350</v>
      </c>
      <c r="O90" s="221">
        <f t="shared" si="38"/>
        <v>1.274321206743567</v>
      </c>
      <c r="P90" s="177">
        <f t="shared" si="39"/>
        <v>1.9520851818988467</v>
      </c>
      <c r="Q90" s="177">
        <f t="shared" si="40"/>
        <v>0.52239254437935057</v>
      </c>
      <c r="R90" s="177">
        <f t="shared" si="41"/>
        <v>0.4595588235294118</v>
      </c>
    </row>
    <row r="91" spans="3:18" x14ac:dyDescent="0.25">
      <c r="C91" s="174">
        <v>85</v>
      </c>
      <c r="D91" s="5">
        <f t="shared" si="42"/>
        <v>42.599999999999994</v>
      </c>
      <c r="E91" s="451">
        <f t="shared" si="29"/>
        <v>19.584</v>
      </c>
      <c r="F91" s="221">
        <f t="shared" si="30"/>
        <v>0.31493631802392902</v>
      </c>
      <c r="G91" s="176">
        <f t="shared" si="31"/>
        <v>9.0559938247780778</v>
      </c>
      <c r="H91" s="221">
        <f t="shared" si="32"/>
        <v>0.56599961404862986</v>
      </c>
      <c r="I91" s="451">
        <f t="shared" si="33"/>
        <v>62.183999999999997</v>
      </c>
      <c r="J91" s="176">
        <f t="shared" si="34"/>
        <v>0.53003569711661402</v>
      </c>
      <c r="K91" s="176">
        <f t="shared" si="35"/>
        <v>0.37326457543423525</v>
      </c>
      <c r="L91" s="176">
        <f t="shared" si="36"/>
        <v>0.81194193798500924</v>
      </c>
      <c r="M91" s="451">
        <f t="shared" si="43"/>
        <v>350</v>
      </c>
      <c r="N91" s="201">
        <f t="shared" si="37"/>
        <v>350</v>
      </c>
      <c r="O91" s="221">
        <f t="shared" si="38"/>
        <v>1.2777416331256546</v>
      </c>
      <c r="P91" s="177">
        <f t="shared" si="39"/>
        <v>1.9573248056459172</v>
      </c>
      <c r="Q91" s="177">
        <f t="shared" si="40"/>
        <v>0.52520063268190742</v>
      </c>
      <c r="R91" s="177">
        <f t="shared" si="41"/>
        <v>0.4595588235294118</v>
      </c>
    </row>
    <row r="92" spans="3:18" x14ac:dyDescent="0.25">
      <c r="C92" s="174">
        <v>86</v>
      </c>
      <c r="D92" s="5">
        <f t="shared" si="42"/>
        <v>42.96</v>
      </c>
      <c r="E92" s="451">
        <f t="shared" si="29"/>
        <v>19.584</v>
      </c>
      <c r="F92" s="221">
        <f t="shared" si="30"/>
        <v>0.31312356101304684</v>
      </c>
      <c r="G92" s="176">
        <f t="shared" si="31"/>
        <v>9.0799570222563322</v>
      </c>
      <c r="H92" s="221">
        <f t="shared" si="32"/>
        <v>0.56749731389102076</v>
      </c>
      <c r="I92" s="451">
        <f t="shared" si="33"/>
        <v>62.543999999999997</v>
      </c>
      <c r="J92" s="176">
        <f t="shared" si="34"/>
        <v>0.52863686339422999</v>
      </c>
      <c r="K92" s="176">
        <f t="shared" si="35"/>
        <v>0.36915982080602655</v>
      </c>
      <c r="L92" s="176">
        <f t="shared" si="36"/>
        <v>0.80979911671910243</v>
      </c>
      <c r="M92" s="451">
        <f t="shared" si="43"/>
        <v>350</v>
      </c>
      <c r="N92" s="201">
        <f t="shared" si="37"/>
        <v>350</v>
      </c>
      <c r="O92" s="221">
        <f t="shared" si="38"/>
        <v>1.2811226839162373</v>
      </c>
      <c r="P92" s="177">
        <f t="shared" si="39"/>
        <v>1.9625041113912949</v>
      </c>
      <c r="Q92" s="177">
        <f t="shared" si="40"/>
        <v>0.5279837922202758</v>
      </c>
      <c r="R92" s="177">
        <f t="shared" si="41"/>
        <v>0.4595588235294118</v>
      </c>
    </row>
    <row r="93" spans="3:18" x14ac:dyDescent="0.25">
      <c r="C93" s="174">
        <v>87</v>
      </c>
      <c r="D93" s="5">
        <f t="shared" si="42"/>
        <v>43.32</v>
      </c>
      <c r="E93" s="451">
        <f t="shared" si="29"/>
        <v>19.584</v>
      </c>
      <c r="F93" s="221">
        <f t="shared" si="30"/>
        <v>0.31133155284242658</v>
      </c>
      <c r="G93" s="176">
        <f t="shared" si="31"/>
        <v>9.1036459366653961</v>
      </c>
      <c r="H93" s="221">
        <f t="shared" si="32"/>
        <v>0.56897787104158726</v>
      </c>
      <c r="I93" s="451">
        <f t="shared" si="33"/>
        <v>62.903999999999996</v>
      </c>
      <c r="J93" s="176">
        <f t="shared" si="34"/>
        <v>0.52726127898579145</v>
      </c>
      <c r="K93" s="176">
        <f t="shared" si="35"/>
        <v>0.36513938987935696</v>
      </c>
      <c r="L93" s="176">
        <f t="shared" si="36"/>
        <v>0.80769191021107756</v>
      </c>
      <c r="M93" s="451">
        <f t="shared" si="43"/>
        <v>350</v>
      </c>
      <c r="N93" s="201">
        <f t="shared" si="37"/>
        <v>350</v>
      </c>
      <c r="O93" s="221">
        <f t="shared" si="38"/>
        <v>1.2844650351556113</v>
      </c>
      <c r="P93" s="177">
        <f t="shared" si="39"/>
        <v>1.9676241347359245</v>
      </c>
      <c r="Q93" s="177">
        <f t="shared" si="40"/>
        <v>0.53074232471328775</v>
      </c>
      <c r="R93" s="177">
        <f t="shared" si="41"/>
        <v>0.4595588235294118</v>
      </c>
    </row>
    <row r="94" spans="3:18" x14ac:dyDescent="0.25">
      <c r="C94" s="174">
        <v>88</v>
      </c>
      <c r="D94" s="5">
        <f t="shared" si="42"/>
        <v>43.68</v>
      </c>
      <c r="E94" s="451">
        <f t="shared" si="29"/>
        <v>19.584</v>
      </c>
      <c r="F94" s="221">
        <f t="shared" si="30"/>
        <v>0.30955993930197268</v>
      </c>
      <c r="G94" s="176">
        <f t="shared" si="31"/>
        <v>9.1270652503793634</v>
      </c>
      <c r="H94" s="221">
        <f t="shared" si="32"/>
        <v>0.57044157814871022</v>
      </c>
      <c r="I94" s="451">
        <f t="shared" si="33"/>
        <v>63.263999999999996</v>
      </c>
      <c r="J94" s="176">
        <f t="shared" si="34"/>
        <v>0.52590836904562399</v>
      </c>
      <c r="K94" s="176">
        <f t="shared" si="35"/>
        <v>0.36120080291595058</v>
      </c>
      <c r="L94" s="176">
        <f t="shared" si="36"/>
        <v>0.80561943787626233</v>
      </c>
      <c r="M94" s="451">
        <f t="shared" si="43"/>
        <v>350</v>
      </c>
      <c r="N94" s="201">
        <f t="shared" si="37"/>
        <v>350</v>
      </c>
      <c r="O94" s="221">
        <f t="shared" si="38"/>
        <v>1.2877693474962064</v>
      </c>
      <c r="P94" s="177">
        <f t="shared" si="39"/>
        <v>1.9726858877086497</v>
      </c>
      <c r="Q94" s="177">
        <f t="shared" si="40"/>
        <v>0.53347652787020383</v>
      </c>
      <c r="R94" s="177">
        <f t="shared" si="41"/>
        <v>0.4595588235294118</v>
      </c>
    </row>
    <row r="95" spans="3:18" x14ac:dyDescent="0.25">
      <c r="C95" s="174">
        <v>89</v>
      </c>
      <c r="D95" s="5">
        <f t="shared" si="42"/>
        <v>44.04</v>
      </c>
      <c r="E95" s="451">
        <f t="shared" si="29"/>
        <v>19.584</v>
      </c>
      <c r="F95" s="221">
        <f t="shared" si="30"/>
        <v>0.30780837419841572</v>
      </c>
      <c r="G95" s="176">
        <f t="shared" si="31"/>
        <v>9.1502195397963035</v>
      </c>
      <c r="H95" s="221">
        <f t="shared" si="32"/>
        <v>0.57188872123726897</v>
      </c>
      <c r="I95" s="451">
        <f t="shared" si="33"/>
        <v>63.623999999999995</v>
      </c>
      <c r="J95" s="176">
        <f t="shared" si="34"/>
        <v>0.52457757752409673</v>
      </c>
      <c r="K95" s="176">
        <f t="shared" si="35"/>
        <v>0.35734167406273615</v>
      </c>
      <c r="L95" s="176">
        <f t="shared" si="36"/>
        <v>0.80358084792294227</v>
      </c>
      <c r="M95" s="451">
        <f t="shared" si="43"/>
        <v>350</v>
      </c>
      <c r="N95" s="201">
        <f t="shared" si="37"/>
        <v>350</v>
      </c>
      <c r="O95" s="221">
        <f t="shared" si="38"/>
        <v>1.2910362666379265</v>
      </c>
      <c r="P95" s="177">
        <f t="shared" si="39"/>
        <v>1.9776903594330981</v>
      </c>
      <c r="Q95" s="177">
        <f t="shared" si="40"/>
        <v>0.53618669542374842</v>
      </c>
      <c r="R95" s="177">
        <f t="shared" si="41"/>
        <v>0.4595588235294118</v>
      </c>
    </row>
    <row r="96" spans="3:18" x14ac:dyDescent="0.25">
      <c r="C96" s="174">
        <v>90</v>
      </c>
      <c r="D96" s="5">
        <f t="shared" si="42"/>
        <v>44.4</v>
      </c>
      <c r="E96" s="451">
        <f t="shared" si="29"/>
        <v>19.584</v>
      </c>
      <c r="F96" s="221">
        <f t="shared" si="30"/>
        <v>0.30607651912978245</v>
      </c>
      <c r="G96" s="176">
        <f t="shared" si="31"/>
        <v>9.1731132783195815</v>
      </c>
      <c r="H96" s="221">
        <f t="shared" si="32"/>
        <v>0.57331957989497384</v>
      </c>
      <c r="I96" s="451">
        <f t="shared" si="33"/>
        <v>63.983999999999995</v>
      </c>
      <c r="J96" s="176">
        <f t="shared" si="34"/>
        <v>0.52326836640562135</v>
      </c>
      <c r="K96" s="176">
        <f t="shared" si="35"/>
        <v>0.35355970703082529</v>
      </c>
      <c r="L96" s="176">
        <f t="shared" si="36"/>
        <v>0.80157531618508182</v>
      </c>
      <c r="M96" s="451">
        <f t="shared" si="43"/>
        <v>350</v>
      </c>
      <c r="N96" s="201">
        <f t="shared" si="37"/>
        <v>350</v>
      </c>
      <c r="O96" s="221">
        <f t="shared" si="38"/>
        <v>1.2942664237487944</v>
      </c>
      <c r="P96" s="177">
        <f t="shared" si="39"/>
        <v>1.9826385167720504</v>
      </c>
      <c r="Q96" s="177">
        <f t="shared" si="40"/>
        <v>0.53887311716472697</v>
      </c>
      <c r="R96" s="177">
        <f t="shared" si="41"/>
        <v>0.4595588235294118</v>
      </c>
    </row>
    <row r="97" spans="3:18" x14ac:dyDescent="0.25">
      <c r="C97" s="174">
        <v>91</v>
      </c>
      <c r="D97" s="5">
        <f t="shared" si="42"/>
        <v>44.76</v>
      </c>
      <c r="E97" s="451">
        <f t="shared" si="29"/>
        <v>19.584</v>
      </c>
      <c r="F97" s="221">
        <f t="shared" si="30"/>
        <v>0.30436404326743755</v>
      </c>
      <c r="G97" s="176">
        <f t="shared" si="31"/>
        <v>9.1957508392390892</v>
      </c>
      <c r="H97" s="221">
        <f t="shared" si="32"/>
        <v>0.57473442745244308</v>
      </c>
      <c r="I97" s="451">
        <f t="shared" si="33"/>
        <v>64.343999999999994</v>
      </c>
      <c r="J97" s="176">
        <f t="shared" si="34"/>
        <v>0.52198021498342162</v>
      </c>
      <c r="K97" s="176">
        <f t="shared" si="35"/>
        <v>0.34985269100765526</v>
      </c>
      <c r="L97" s="176">
        <f t="shared" si="36"/>
        <v>0.79960204501136889</v>
      </c>
      <c r="M97" s="451">
        <f t="shared" si="43"/>
        <v>350</v>
      </c>
      <c r="N97" s="201">
        <f t="shared" si="37"/>
        <v>350</v>
      </c>
      <c r="O97" s="221">
        <f t="shared" si="38"/>
        <v>1.2974604358714767</v>
      </c>
      <c r="P97" s="177">
        <f t="shared" si="39"/>
        <v>1.9875313049501788</v>
      </c>
      <c r="Q97" s="177">
        <f t="shared" si="40"/>
        <v>0.54153607897806144</v>
      </c>
      <c r="R97" s="177">
        <f t="shared" si="41"/>
        <v>0.4595588235294118</v>
      </c>
    </row>
    <row r="98" spans="3:18" x14ac:dyDescent="0.25">
      <c r="C98" s="174">
        <v>92</v>
      </c>
      <c r="D98" s="5">
        <f t="shared" si="42"/>
        <v>45.120000000000005</v>
      </c>
      <c r="E98" s="451">
        <f t="shared" si="29"/>
        <v>19.584</v>
      </c>
      <c r="F98" s="221">
        <f t="shared" si="30"/>
        <v>0.30267062314540055</v>
      </c>
      <c r="G98" s="176">
        <f t="shared" si="31"/>
        <v>9.2181364985163192</v>
      </c>
      <c r="H98" s="221">
        <f t="shared" si="32"/>
        <v>0.57613353115726995</v>
      </c>
      <c r="I98" s="451">
        <f t="shared" si="33"/>
        <v>64.704000000000008</v>
      </c>
      <c r="J98" s="176">
        <f t="shared" si="34"/>
        <v>0.52071261916902301</v>
      </c>
      <c r="K98" s="176">
        <f t="shared" si="35"/>
        <v>0.34621849678791422</v>
      </c>
      <c r="L98" s="176">
        <f t="shared" si="36"/>
        <v>0.79766026220744957</v>
      </c>
      <c r="M98" s="451">
        <f t="shared" si="43"/>
        <v>350</v>
      </c>
      <c r="N98" s="201">
        <f t="shared" si="37"/>
        <v>350</v>
      </c>
      <c r="O98" s="221">
        <f t="shared" si="38"/>
        <v>1.3006189063162357</v>
      </c>
      <c r="P98" s="177">
        <f t="shared" si="39"/>
        <v>1.9923696481559987</v>
      </c>
      <c r="Q98" s="177">
        <f t="shared" si="40"/>
        <v>0.54417586288008679</v>
      </c>
      <c r="R98" s="177">
        <f t="shared" si="41"/>
        <v>0.4595588235294118</v>
      </c>
    </row>
    <row r="99" spans="3:18" x14ac:dyDescent="0.25">
      <c r="C99" s="174">
        <v>93</v>
      </c>
      <c r="D99" s="5">
        <f t="shared" si="42"/>
        <v>45.480000000000004</v>
      </c>
      <c r="E99" s="451">
        <f t="shared" si="29"/>
        <v>19.584</v>
      </c>
      <c r="F99" s="221">
        <f t="shared" si="30"/>
        <v>0.30099594245665801</v>
      </c>
      <c r="G99" s="176">
        <f t="shared" si="31"/>
        <v>9.2402744374769448</v>
      </c>
      <c r="H99" s="221">
        <f t="shared" si="32"/>
        <v>0.57751715234230905</v>
      </c>
      <c r="I99" s="451">
        <f t="shared" si="33"/>
        <v>65.064000000000007</v>
      </c>
      <c r="J99" s="176">
        <f t="shared" si="34"/>
        <v>0.51946509083453574</v>
      </c>
      <c r="K99" s="176">
        <f t="shared" si="35"/>
        <v>0.34265507310985205</v>
      </c>
      <c r="L99" s="176">
        <f t="shared" si="36"/>
        <v>0.79574922002839421</v>
      </c>
      <c r="M99" s="451">
        <f t="shared" si="43"/>
        <v>350</v>
      </c>
      <c r="N99" s="201">
        <f t="shared" si="37"/>
        <v>350</v>
      </c>
      <c r="O99" s="221">
        <f t="shared" si="38"/>
        <v>1.3037424250408391</v>
      </c>
      <c r="P99" s="177">
        <f t="shared" si="39"/>
        <v>1.9971544501238347</v>
      </c>
      <c r="Q99" s="177">
        <f t="shared" si="40"/>
        <v>0.5467927470569659</v>
      </c>
      <c r="R99" s="177">
        <f t="shared" si="41"/>
        <v>0.4595588235294118</v>
      </c>
    </row>
    <row r="100" spans="3:18" x14ac:dyDescent="0.25">
      <c r="C100" s="174">
        <v>94</v>
      </c>
      <c r="D100" s="5">
        <f t="shared" si="42"/>
        <v>45.839999999999996</v>
      </c>
      <c r="E100" s="451">
        <f t="shared" si="29"/>
        <v>19.584</v>
      </c>
      <c r="F100" s="221">
        <f t="shared" si="30"/>
        <v>0.29933969185619957</v>
      </c>
      <c r="G100" s="176">
        <f t="shared" si="31"/>
        <v>9.2621687454145274</v>
      </c>
      <c r="H100" s="221">
        <f t="shared" si="32"/>
        <v>0.57888554658840796</v>
      </c>
      <c r="I100" s="451">
        <f t="shared" si="33"/>
        <v>65.423999999999992</v>
      </c>
      <c r="J100" s="176">
        <f t="shared" si="34"/>
        <v>0.51823715718593044</v>
      </c>
      <c r="K100" s="176">
        <f t="shared" si="35"/>
        <v>0.3391604431845095</v>
      </c>
      <c r="L100" s="176">
        <f t="shared" si="36"/>
        <v>0.79386819421864352</v>
      </c>
      <c r="M100" s="451">
        <f t="shared" si="43"/>
        <v>350</v>
      </c>
      <c r="N100" s="201">
        <f t="shared" si="37"/>
        <v>350</v>
      </c>
      <c r="O100" s="221">
        <f t="shared" si="38"/>
        <v>1.3068315690179226</v>
      </c>
      <c r="P100" s="177">
        <f t="shared" si="39"/>
        <v>2.0018865946965727</v>
      </c>
      <c r="Q100" s="177">
        <f t="shared" si="40"/>
        <v>0.54938700590408629</v>
      </c>
      <c r="R100" s="177">
        <f t="shared" si="41"/>
        <v>0.4595588235294118</v>
      </c>
    </row>
    <row r="101" spans="3:18" x14ac:dyDescent="0.25">
      <c r="C101" s="174">
        <v>95</v>
      </c>
      <c r="D101" s="5">
        <f t="shared" si="42"/>
        <v>46.199999999999996</v>
      </c>
      <c r="E101" s="451">
        <f t="shared" si="29"/>
        <v>19.584</v>
      </c>
      <c r="F101" s="221">
        <f t="shared" si="30"/>
        <v>0.29770156877052173</v>
      </c>
      <c r="G101" s="176">
        <f t="shared" si="31"/>
        <v>9.2838234221087195</v>
      </c>
      <c r="H101" s="221">
        <f t="shared" si="32"/>
        <v>0.58023896388179497</v>
      </c>
      <c r="I101" s="451">
        <f t="shared" si="33"/>
        <v>65.783999999999992</v>
      </c>
      <c r="J101" s="176">
        <f t="shared" si="34"/>
        <v>0.51702836016561504</v>
      </c>
      <c r="K101" s="176">
        <f t="shared" si="35"/>
        <v>0.33573270140624356</v>
      </c>
      <c r="L101" s="176">
        <f t="shared" si="36"/>
        <v>0.79201648309683681</v>
      </c>
      <c r="M101" s="451">
        <f t="shared" si="43"/>
        <v>350</v>
      </c>
      <c r="N101" s="201">
        <f t="shared" si="37"/>
        <v>350</v>
      </c>
      <c r="O101" s="221">
        <f t="shared" si="38"/>
        <v>1.3098869025902955</v>
      </c>
      <c r="P101" s="177">
        <f t="shared" si="39"/>
        <v>2.0065669463699378</v>
      </c>
      <c r="Q101" s="177">
        <f t="shared" si="40"/>
        <v>0.55195891006632292</v>
      </c>
      <c r="R101" s="177">
        <f t="shared" si="41"/>
        <v>0.4595588235294118</v>
      </c>
    </row>
    <row r="102" spans="3:18" x14ac:dyDescent="0.25">
      <c r="C102" s="174">
        <v>96</v>
      </c>
      <c r="D102" s="5">
        <f t="shared" si="42"/>
        <v>46.56</v>
      </c>
      <c r="E102" s="451">
        <f t="shared" si="29"/>
        <v>19.584</v>
      </c>
      <c r="F102" s="221">
        <f t="shared" si="30"/>
        <v>0.29608127721335264</v>
      </c>
      <c r="G102" s="176">
        <f t="shared" ref="G102:G106" si="44">F102*D102*Isw_max*0.5*Efficiency</f>
        <v>9.3052423802612481</v>
      </c>
      <c r="H102" s="221">
        <f t="shared" ref="H102:H106" si="45">G102/Vout</f>
        <v>0.581577648766328</v>
      </c>
      <c r="I102" s="451">
        <f t="shared" si="33"/>
        <v>66.144000000000005</v>
      </c>
      <c r="J102" s="176">
        <f t="shared" si="34"/>
        <v>0.51583825588272736</v>
      </c>
      <c r="K102" s="176">
        <f t="shared" ref="K102:K106" si="46">L*J102/D102*1000000</f>
        <v>0.3323700102337161</v>
      </c>
      <c r="L102" s="176">
        <f t="shared" si="36"/>
        <v>0.79019340668309956</v>
      </c>
      <c r="M102" s="451">
        <f t="shared" si="43"/>
        <v>350</v>
      </c>
      <c r="N102" s="201">
        <f t="shared" si="37"/>
        <v>350</v>
      </c>
      <c r="O102" s="221">
        <f t="shared" ref="O102:O106" si="47">1/((N102*1000*L)*(1/D102+1/E102))</f>
        <v>1.3129089778146383</v>
      </c>
      <c r="P102" s="177">
        <f t="shared" ref="P102:P106" si="48">L*O102/E102*1000000</f>
        <v>2.011196350818993</v>
      </c>
      <c r="Q102" s="177">
        <f t="shared" ref="Q102:Q106" si="49">0.5*P102*O102*Nps*N102/1000</f>
        <v>0.55450872647904181</v>
      </c>
      <c r="R102" s="177">
        <f t="shared" si="41"/>
        <v>0.4595588235294118</v>
      </c>
    </row>
    <row r="103" spans="3:18" x14ac:dyDescent="0.25">
      <c r="C103" s="174">
        <v>97</v>
      </c>
      <c r="D103" s="5">
        <f t="shared" ref="D103:D106" si="50">C103/100*(VIN_max-VIN_min)+VIN_min</f>
        <v>46.92</v>
      </c>
      <c r="E103" s="451">
        <f t="shared" si="29"/>
        <v>19.584</v>
      </c>
      <c r="F103" s="221">
        <f t="shared" si="30"/>
        <v>0.29447852760736193</v>
      </c>
      <c r="G103" s="176">
        <f t="shared" si="44"/>
        <v>9.3264294478527603</v>
      </c>
      <c r="H103" s="221">
        <f t="shared" si="45"/>
        <v>0.58290184049079752</v>
      </c>
      <c r="I103" s="451">
        <f t="shared" si="33"/>
        <v>66.504000000000005</v>
      </c>
      <c r="J103" s="176">
        <f t="shared" si="34"/>
        <v>0.51466641406965363</v>
      </c>
      <c r="K103" s="176">
        <f t="shared" si="46"/>
        <v>0.32907059723123633</v>
      </c>
      <c r="L103" s="176">
        <f t="shared" si="36"/>
        <v>0.78839830586650372</v>
      </c>
      <c r="M103" s="451">
        <f t="shared" si="43"/>
        <v>350</v>
      </c>
      <c r="N103" s="201">
        <f t="shared" si="37"/>
        <v>350</v>
      </c>
      <c r="O103" s="221">
        <f t="shared" si="47"/>
        <v>1.3158983347940403</v>
      </c>
      <c r="P103" s="177">
        <f t="shared" si="48"/>
        <v>2.0157756354075373</v>
      </c>
      <c r="Q103" s="177">
        <f t="shared" si="49"/>
        <v>0.55703671840974722</v>
      </c>
      <c r="R103" s="177">
        <f t="shared" si="41"/>
        <v>0.4595588235294118</v>
      </c>
    </row>
    <row r="104" spans="3:18" x14ac:dyDescent="0.25">
      <c r="C104" s="174">
        <v>98</v>
      </c>
      <c r="D104" s="5">
        <f t="shared" si="50"/>
        <v>47.28</v>
      </c>
      <c r="E104" s="451">
        <f t="shared" si="29"/>
        <v>19.584</v>
      </c>
      <c r="F104" s="221">
        <f t="shared" si="30"/>
        <v>0.29289303661162958</v>
      </c>
      <c r="G104" s="176">
        <f t="shared" si="44"/>
        <v>9.3473883704235465</v>
      </c>
      <c r="H104" s="221">
        <f t="shared" si="45"/>
        <v>0.58421177315147166</v>
      </c>
      <c r="I104" s="451">
        <f t="shared" si="33"/>
        <v>66.864000000000004</v>
      </c>
      <c r="J104" s="176">
        <f t="shared" si="34"/>
        <v>0.51351241756337807</v>
      </c>
      <c r="K104" s="176">
        <f t="shared" si="46"/>
        <v>0.3258327522610267</v>
      </c>
      <c r="L104" s="176">
        <f t="shared" si="36"/>
        <v>0.78663054161056678</v>
      </c>
      <c r="M104" s="451">
        <f t="shared" si="43"/>
        <v>350</v>
      </c>
      <c r="N104" s="201">
        <f t="shared" si="37"/>
        <v>350</v>
      </c>
      <c r="O104" s="221">
        <f t="shared" si="47"/>
        <v>1.3188555019997947</v>
      </c>
      <c r="P104" s="177">
        <f t="shared" si="48"/>
        <v>2.0203056096810585</v>
      </c>
      <c r="Q104" s="177">
        <f t="shared" si="49"/>
        <v>0.55954314550027184</v>
      </c>
      <c r="R104" s="177">
        <f t="shared" si="41"/>
        <v>0.4595588235294118</v>
      </c>
    </row>
    <row r="105" spans="3:18" x14ac:dyDescent="0.25">
      <c r="C105" s="174">
        <v>99</v>
      </c>
      <c r="D105" s="5">
        <f t="shared" si="50"/>
        <v>47.64</v>
      </c>
      <c r="E105" s="451">
        <f t="shared" si="29"/>
        <v>19.584</v>
      </c>
      <c r="F105" s="221">
        <f t="shared" si="30"/>
        <v>0.29132452695465905</v>
      </c>
      <c r="G105" s="176">
        <f t="shared" si="44"/>
        <v>9.3681228132809711</v>
      </c>
      <c r="H105" s="221">
        <f t="shared" si="45"/>
        <v>0.58550767583006069</v>
      </c>
      <c r="I105" s="451">
        <f t="shared" si="33"/>
        <v>67.224000000000004</v>
      </c>
      <c r="J105" s="176">
        <f t="shared" si="34"/>
        <v>0.51237586181034589</v>
      </c>
      <c r="K105" s="176">
        <f t="shared" si="46"/>
        <v>0.32265482481759822</v>
      </c>
      <c r="L105" s="176">
        <f t="shared" si="36"/>
        <v>0.78488949419477017</v>
      </c>
      <c r="M105" s="451">
        <f t="shared" si="43"/>
        <v>350</v>
      </c>
      <c r="N105" s="201">
        <f t="shared" si="37"/>
        <v>350</v>
      </c>
      <c r="O105" s="221">
        <f t="shared" si="47"/>
        <v>1.3217809965828531</v>
      </c>
      <c r="P105" s="177">
        <f t="shared" si="48"/>
        <v>2.0247870658438312</v>
      </c>
      <c r="Q105" s="177">
        <f t="shared" si="49"/>
        <v>0.56202826380941728</v>
      </c>
      <c r="R105" s="177">
        <f t="shared" si="41"/>
        <v>0.4595588235294118</v>
      </c>
    </row>
    <row r="106" spans="3:18" x14ac:dyDescent="0.25">
      <c r="C106" s="174">
        <v>100</v>
      </c>
      <c r="D106" s="5">
        <f t="shared" si="50"/>
        <v>48</v>
      </c>
      <c r="E106" s="451">
        <f t="shared" si="29"/>
        <v>19.584</v>
      </c>
      <c r="F106" s="221">
        <f t="shared" si="30"/>
        <v>0.28977272727272724</v>
      </c>
      <c r="G106" s="176">
        <f t="shared" si="44"/>
        <v>9.3886363636363619</v>
      </c>
      <c r="H106" s="221">
        <f t="shared" si="45"/>
        <v>0.58678977272727262</v>
      </c>
      <c r="I106" s="451">
        <f t="shared" si="33"/>
        <v>67.584000000000003</v>
      </c>
      <c r="J106" s="176">
        <f t="shared" si="34"/>
        <v>0.51125635439360939</v>
      </c>
      <c r="K106" s="176">
        <f t="shared" si="46"/>
        <v>0.31953522149600588</v>
      </c>
      <c r="L106" s="176">
        <f t="shared" si="36"/>
        <v>0.78317456249021045</v>
      </c>
      <c r="M106" s="451">
        <f t="shared" si="43"/>
        <v>350</v>
      </c>
      <c r="N106" s="201">
        <f t="shared" si="37"/>
        <v>350</v>
      </c>
      <c r="O106" s="221">
        <f t="shared" si="47"/>
        <v>1.3246753246753247</v>
      </c>
      <c r="P106" s="177">
        <f t="shared" si="48"/>
        <v>2.029220779220779</v>
      </c>
      <c r="Q106" s="177">
        <f t="shared" si="49"/>
        <v>0.5644923258559621</v>
      </c>
      <c r="R106" s="177">
        <f t="shared" si="41"/>
        <v>0.4595588235294118</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796875" defaultRowHeight="12.5" x14ac:dyDescent="0.25"/>
  <cols>
    <col min="1" max="1" width="15.7265625" style="174" customWidth="1"/>
    <col min="2" max="2" width="11.54296875" style="174" customWidth="1"/>
    <col min="3" max="3" width="9.1796875" style="174"/>
    <col min="4" max="4" width="12.453125" style="174" bestFit="1" customWidth="1"/>
    <col min="5" max="5" width="51.453125" style="174" customWidth="1"/>
    <col min="6" max="6" width="13.453125" style="174" customWidth="1"/>
    <col min="7" max="7" width="10" style="174" customWidth="1"/>
    <col min="8" max="8" width="6.81640625" style="174" customWidth="1"/>
    <col min="9" max="9" width="12.453125" style="174" bestFit="1" customWidth="1"/>
    <col min="10" max="10" width="9.1796875" style="220" customWidth="1"/>
    <col min="11" max="11" width="8.81640625"/>
    <col min="13" max="13" width="10.81640625" customWidth="1"/>
    <col min="14" max="14" width="12" style="174" customWidth="1"/>
    <col min="15" max="15" width="12.7265625" style="220" customWidth="1"/>
    <col min="16" max="16" width="11.453125" style="220" customWidth="1"/>
    <col min="17" max="17" width="12.453125" style="220" customWidth="1"/>
    <col min="18" max="19" width="10.54296875" style="201" customWidth="1"/>
    <col min="20" max="20" width="10" style="201" customWidth="1"/>
    <col min="21" max="21" width="10.54296875" style="201" customWidth="1"/>
    <col min="22" max="22" width="8.453125" style="220" customWidth="1"/>
    <col min="23" max="23" width="9.26953125" style="220" customWidth="1"/>
    <col min="24" max="24" width="9.453125" style="174" customWidth="1"/>
    <col min="25" max="25" width="9.453125" style="220" customWidth="1"/>
    <col min="26" max="26" width="8.26953125" style="221" customWidth="1"/>
    <col min="27" max="27" width="9.54296875" style="220" customWidth="1"/>
    <col min="28" max="28" width="9.453125" style="220" bestFit="1" customWidth="1"/>
    <col min="29" max="29" width="8.54296875" style="220" customWidth="1"/>
    <col min="30" max="30" width="9.7265625" style="222" customWidth="1"/>
    <col min="31" max="31" width="9.1796875" style="222" customWidth="1"/>
    <col min="32" max="32" width="8.1796875" style="220" customWidth="1"/>
    <col min="33" max="33" width="10.26953125" style="220" customWidth="1"/>
    <col min="34" max="34" width="9.453125" style="220" customWidth="1"/>
    <col min="35" max="35" width="8.81640625"/>
    <col min="36" max="36" width="9.7265625" style="220" customWidth="1"/>
    <col min="37" max="37" width="11.54296875" style="220" customWidth="1"/>
    <col min="38" max="38" width="10.1796875" style="220" customWidth="1"/>
    <col min="39" max="39" width="11.1796875" style="220" customWidth="1"/>
    <col min="40" max="40" width="9.1796875" style="220"/>
    <col min="41" max="41" width="10.26953125" style="220" customWidth="1"/>
    <col min="42" max="42" width="9.81640625" style="220" customWidth="1"/>
    <col min="43" max="43" width="9.7265625" style="220" customWidth="1"/>
    <col min="44" max="44" width="10.26953125" style="220" customWidth="1"/>
    <col min="45" max="45" width="10.1796875" style="220" customWidth="1"/>
    <col min="46" max="46" width="10.453125" style="220" customWidth="1"/>
    <col min="47" max="47" width="11.26953125" style="220" customWidth="1"/>
    <col min="48" max="48" width="11.7265625" style="220" customWidth="1"/>
    <col min="49" max="49" width="10.453125" style="220" customWidth="1"/>
    <col min="50" max="50" width="11.453125" style="220" customWidth="1"/>
    <col min="51" max="51" width="10.1796875" style="220" customWidth="1"/>
    <col min="52" max="52" width="10" style="176" bestFit="1" customWidth="1"/>
    <col min="53" max="55" width="12.7265625" style="349" customWidth="1"/>
    <col min="56" max="56" width="14" style="349" customWidth="1"/>
    <col min="57" max="57" width="12.81640625" style="349" customWidth="1"/>
    <col min="58" max="58" width="10.453125" style="349" customWidth="1"/>
    <col min="59" max="59" width="9" style="349" customWidth="1"/>
    <col min="60" max="60" width="8.81640625" style="349" customWidth="1"/>
    <col min="61" max="61" width="10.81640625" style="349" customWidth="1"/>
    <col min="62" max="62" width="11.1796875" style="349" customWidth="1"/>
    <col min="63" max="64" width="9.1796875" style="349"/>
    <col min="65" max="65" width="8.81640625" style="176" customWidth="1"/>
    <col min="66" max="66" width="9.1796875" style="221"/>
    <col min="67" max="67" width="12.54296875" style="174" customWidth="1"/>
    <col min="68" max="68" width="13.54296875" style="176" customWidth="1"/>
    <col min="69" max="69" width="12.7265625" style="201" customWidth="1"/>
    <col min="70" max="70" width="3.7265625" style="174" customWidth="1"/>
    <col min="71" max="71" width="12.453125" style="174" bestFit="1" customWidth="1"/>
    <col min="72" max="72" width="3.54296875" style="174" customWidth="1"/>
    <col min="73" max="73" width="9.1796875" style="176"/>
    <col min="74" max="74" width="11.1796875" style="176" customWidth="1"/>
    <col min="75" max="75" width="9.1796875" style="176"/>
    <col min="76" max="76" width="4.7265625" style="174" customWidth="1"/>
    <col min="77" max="77" width="3.7265625" style="174" customWidth="1"/>
    <col min="78" max="78" width="12.453125" style="174" customWidth="1"/>
    <col min="79" max="79" width="11.81640625" style="174" customWidth="1"/>
    <col min="80" max="80" width="11.54296875" style="174" customWidth="1"/>
    <col min="81" max="81" width="11.7265625" style="174" customWidth="1"/>
    <col min="82" max="82" width="9.1796875" style="174"/>
    <col min="83" max="83" width="9.1796875" style="174" customWidth="1"/>
    <col min="84" max="16384" width="9.1796875" style="174"/>
  </cols>
  <sheetData>
    <row r="1" spans="1:81" x14ac:dyDescent="0.25">
      <c r="A1" s="854" t="s">
        <v>515</v>
      </c>
      <c r="B1" s="854"/>
      <c r="C1" s="854"/>
      <c r="D1" s="854"/>
      <c r="E1" s="854"/>
    </row>
    <row r="2" spans="1:81" ht="15.5" x14ac:dyDescent="0.25">
      <c r="A2" s="854"/>
      <c r="B2" s="854"/>
      <c r="C2" s="854"/>
      <c r="D2" s="854"/>
      <c r="E2" s="854"/>
      <c r="G2" s="855" t="s">
        <v>22</v>
      </c>
      <c r="H2" s="855"/>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 thickBot="1" x14ac:dyDescent="0.3">
      <c r="A3" s="854"/>
      <c r="B3" s="854"/>
      <c r="C3" s="854"/>
      <c r="D3" s="854"/>
      <c r="E3" s="854"/>
    </row>
    <row r="4" spans="1:81" ht="13.5" thickBot="1" x14ac:dyDescent="0.35">
      <c r="A4" s="856"/>
      <c r="B4" s="856"/>
      <c r="C4" s="856"/>
      <c r="D4" s="856"/>
      <c r="E4" s="856"/>
      <c r="H4" s="224" t="s">
        <v>23</v>
      </c>
      <c r="I4" s="225"/>
      <c r="J4" s="226"/>
      <c r="K4" s="857" t="s">
        <v>189</v>
      </c>
      <c r="L4" s="850"/>
      <c r="M4" s="851"/>
      <c r="N4" s="851"/>
      <c r="O4" s="851"/>
      <c r="P4" s="850"/>
      <c r="Q4" s="850"/>
      <c r="R4" s="851"/>
      <c r="S4" s="851"/>
      <c r="T4" s="851"/>
      <c r="U4" s="853"/>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6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ht="13" x14ac:dyDescent="0.3">
      <c r="A6" s="265" t="s">
        <v>26</v>
      </c>
      <c r="B6" s="266" t="s">
        <v>43</v>
      </c>
      <c r="C6" s="267" t="s">
        <v>33</v>
      </c>
      <c r="D6" s="268" t="s">
        <v>90</v>
      </c>
      <c r="E6" s="269" t="s">
        <v>41</v>
      </c>
      <c r="F6" s="270"/>
      <c r="G6" s="270"/>
      <c r="H6" s="174">
        <v>0.1</v>
      </c>
      <c r="I6" s="465">
        <f t="shared" ref="I6:I37" si="0">IF(PLOT_TYPE=1, H6/100*Iout_max, min_I*EXP(H6*rr/100))</f>
        <v>2.0000000000000001E-4</v>
      </c>
      <c r="J6" s="221"/>
      <c r="K6" s="221"/>
      <c r="L6" s="221"/>
      <c r="M6" s="221"/>
      <c r="N6" s="271"/>
      <c r="O6" s="176"/>
      <c r="P6" s="221"/>
      <c r="Q6" s="451"/>
      <c r="S6" s="272"/>
      <c r="T6" s="272"/>
      <c r="U6" s="272"/>
      <c r="AJ6" s="451"/>
      <c r="AY6" s="220">
        <f>Vout*I6</f>
        <v>3.2000000000000002E-3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t="e">
        <f xml:space="preserve"> CHOOSE(MODE, I6*1000,#REF!)</f>
        <v>#REF!</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t="e">
        <f xml:space="preserve"> IF(MODE=1, BM6,#REF!)</f>
        <v>#REF!</v>
      </c>
      <c r="CA6" s="176" t="e">
        <f xml:space="preserve"> IF(MODE=1, BU6,#REF!)</f>
        <v>#REF!</v>
      </c>
      <c r="CB6" s="176" t="e">
        <f xml:space="preserve"> IF(MODE=1, BV6,#REF!)</f>
        <v>#REF!</v>
      </c>
      <c r="CC6" s="176" t="e">
        <f xml:space="preserve"> IF(MODE=1, BW6,#REF!)</f>
        <v>#REF!</v>
      </c>
    </row>
    <row r="7" spans="1:81" ht="13" x14ac:dyDescent="0.3">
      <c r="A7" s="422"/>
      <c r="B7" s="266"/>
      <c r="C7" s="267"/>
      <c r="D7" s="268"/>
      <c r="E7" s="269"/>
      <c r="F7" s="270"/>
      <c r="G7" s="270"/>
      <c r="H7" s="174">
        <v>1</v>
      </c>
      <c r="I7" s="465">
        <f t="shared" si="0"/>
        <v>2E-3</v>
      </c>
      <c r="J7" s="221"/>
      <c r="K7" s="221"/>
      <c r="L7" s="221"/>
      <c r="M7" s="221"/>
      <c r="N7" s="271"/>
      <c r="O7" s="176"/>
      <c r="P7" s="221"/>
      <c r="Q7" s="451"/>
      <c r="S7" s="272"/>
      <c r="T7" s="272"/>
      <c r="U7" s="272"/>
      <c r="AJ7" s="451"/>
      <c r="AY7" s="220">
        <f>Vout*I7</f>
        <v>3.2000000000000001E-2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t="e">
        <f xml:space="preserve"> CHOOSE(MODE, I7*1000,#REF!)</f>
        <v>#REF!</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t="e">
        <f xml:space="preserve"> IF(MODE=1, BM7,#REF!)</f>
        <v>#REF!</v>
      </c>
      <c r="CA7" s="176" t="e">
        <f xml:space="preserve"> IF(MODE=1, BU7,#REF!)</f>
        <v>#REF!</v>
      </c>
      <c r="CB7" s="176" t="e">
        <f xml:space="preserve"> IF(MODE=1, BV7,#REF!)</f>
        <v>#REF!</v>
      </c>
      <c r="CC7" s="176" t="e">
        <f xml:space="preserve"> IF(MODE=1, BW7,#REF!)</f>
        <v>#REF!</v>
      </c>
    </row>
    <row r="8" spans="1:81" ht="13" x14ac:dyDescent="0.3">
      <c r="A8" s="277" t="s">
        <v>3</v>
      </c>
      <c r="B8" s="278">
        <f>Vin</f>
        <v>32</v>
      </c>
      <c r="C8" s="279" t="s">
        <v>0</v>
      </c>
      <c r="D8" s="198">
        <f>B8</f>
        <v>32</v>
      </c>
      <c r="E8" s="192" t="s">
        <v>3</v>
      </c>
      <c r="F8" s="270"/>
      <c r="G8" s="270"/>
      <c r="H8" s="174">
        <v>2</v>
      </c>
      <c r="I8" s="465">
        <f t="shared" si="0"/>
        <v>4.0000000000000001E-3</v>
      </c>
      <c r="J8" s="221"/>
      <c r="K8" s="221"/>
      <c r="L8" s="221"/>
      <c r="M8" s="221"/>
      <c r="N8" s="271"/>
      <c r="O8" s="176"/>
      <c r="P8" s="221"/>
      <c r="Q8" s="451"/>
      <c r="S8" s="272"/>
      <c r="T8" s="272"/>
      <c r="U8" s="272"/>
      <c r="AJ8" s="451"/>
      <c r="AY8" s="220">
        <f>Vout*I8</f>
        <v>6.4000000000000001E-2</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t="e">
        <f xml:space="preserve"> CHOOSE(MODE, I8*1000,#REF!)</f>
        <v>#REF!</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t="e">
        <f xml:space="preserve"> IF(MODE=1, BM8,#REF!)</f>
        <v>#REF!</v>
      </c>
      <c r="CA8" s="176" t="e">
        <f xml:space="preserve"> IF(MODE=1, BU8,#REF!)</f>
        <v>#REF!</v>
      </c>
      <c r="CB8" s="176" t="e">
        <f xml:space="preserve"> IF(MODE=1, BV8,#REF!)</f>
        <v>#REF!</v>
      </c>
      <c r="CC8" s="176" t="e">
        <f xml:space="preserve"> IF(MODE=1, BW8,#REF!)</f>
        <v>#REF!</v>
      </c>
    </row>
    <row r="9" spans="1:81" ht="13" x14ac:dyDescent="0.3">
      <c r="A9" s="280" t="s">
        <v>4</v>
      </c>
      <c r="B9" s="278">
        <f>Vout</f>
        <v>16</v>
      </c>
      <c r="C9" s="279" t="s">
        <v>0</v>
      </c>
      <c r="D9" s="198">
        <f>B9</f>
        <v>16</v>
      </c>
      <c r="E9" s="192" t="s">
        <v>4</v>
      </c>
      <c r="F9" s="270"/>
      <c r="G9" s="270"/>
      <c r="H9" s="174">
        <v>3</v>
      </c>
      <c r="I9" s="465">
        <f t="shared" si="0"/>
        <v>6.0000000000000001E-3</v>
      </c>
      <c r="J9" s="221"/>
      <c r="K9" s="221"/>
      <c r="L9" s="221"/>
      <c r="M9" s="221"/>
      <c r="N9" s="271"/>
      <c r="O9" s="176"/>
      <c r="P9" s="221"/>
      <c r="Q9" s="451"/>
      <c r="S9" s="272"/>
      <c r="T9" s="272"/>
      <c r="U9" s="272"/>
      <c r="AJ9" s="451"/>
      <c r="AY9" s="220">
        <f>Vout*I9</f>
        <v>9.6000000000000002E-2</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t="e">
        <f xml:space="preserve"> CHOOSE(MODE, I9*1000,#REF!)</f>
        <v>#REF!</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t="e">
        <f xml:space="preserve"> IF(MODE=1, BM9,#REF!)</f>
        <v>#REF!</v>
      </c>
      <c r="CA9" s="176" t="e">
        <f xml:space="preserve"> IF(MODE=1, BU9,#REF!)</f>
        <v>#REF!</v>
      </c>
      <c r="CB9" s="176" t="e">
        <f xml:space="preserve"> IF(MODE=1, BV9,#REF!)</f>
        <v>#REF!</v>
      </c>
      <c r="CC9" s="176" t="e">
        <f xml:space="preserve"> IF(MODE=1, BW9,#REF!)</f>
        <v>#REF!</v>
      </c>
    </row>
    <row r="10" spans="1:81" ht="13" x14ac:dyDescent="0.3">
      <c r="A10" s="280" t="s">
        <v>5</v>
      </c>
      <c r="B10" s="278">
        <f>Iout</f>
        <v>0.2</v>
      </c>
      <c r="C10" s="279" t="s">
        <v>1</v>
      </c>
      <c r="D10" s="198">
        <f>B10</f>
        <v>0.2</v>
      </c>
      <c r="E10" s="281" t="s">
        <v>241</v>
      </c>
      <c r="F10" s="270"/>
      <c r="G10" s="270"/>
      <c r="H10" s="174">
        <v>4</v>
      </c>
      <c r="I10" s="465">
        <f t="shared" si="0"/>
        <v>8.0000000000000002E-3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ht="13" x14ac:dyDescent="0.3">
      <c r="A11" s="280" t="s">
        <v>139</v>
      </c>
      <c r="B11" s="361">
        <f>Vout/(Fsw/1000)*100000/16</f>
        <v>-1000000</v>
      </c>
      <c r="C11" s="282" t="s">
        <v>242</v>
      </c>
      <c r="D11" s="296">
        <f>B11*1000</f>
        <v>-1000000000</v>
      </c>
      <c r="E11" s="281"/>
      <c r="F11" s="270"/>
      <c r="G11" s="270"/>
      <c r="H11" s="174">
        <v>5</v>
      </c>
      <c r="I11" s="465">
        <f t="shared" si="0"/>
        <v>1.0000000000000002E-2</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ht="13" x14ac:dyDescent="0.3">
      <c r="A12" s="280" t="s">
        <v>243</v>
      </c>
      <c r="B12" s="278">
        <v>25</v>
      </c>
      <c r="C12" s="279" t="s">
        <v>102</v>
      </c>
      <c r="D12" s="198">
        <f>B12</f>
        <v>25</v>
      </c>
      <c r="E12" s="281" t="s">
        <v>244</v>
      </c>
      <c r="F12" s="270">
        <f>Turns_Ratio</f>
        <v>8</v>
      </c>
      <c r="H12" s="174">
        <v>6</v>
      </c>
      <c r="I12" s="465">
        <f t="shared" si="0"/>
        <v>1.2E-2</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ht="13" x14ac:dyDescent="0.3">
      <c r="A13" s="283" t="s">
        <v>245</v>
      </c>
      <c r="B13" s="284">
        <v>5</v>
      </c>
      <c r="C13" s="279" t="s">
        <v>0</v>
      </c>
      <c r="D13" s="198">
        <f>B13</f>
        <v>5</v>
      </c>
      <c r="E13" s="281"/>
      <c r="F13" s="270"/>
      <c r="G13" s="270"/>
      <c r="H13" s="174">
        <v>7</v>
      </c>
      <c r="I13" s="465">
        <f t="shared" si="0"/>
        <v>1.4000000000000002E-2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ht="13" x14ac:dyDescent="0.3">
      <c r="F14" s="270"/>
      <c r="G14" s="270"/>
      <c r="H14" s="174">
        <v>8</v>
      </c>
      <c r="I14" s="465">
        <f t="shared" si="0"/>
        <v>1.6E-2</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ht="13" x14ac:dyDescent="0.3">
      <c r="A15" s="285" t="s">
        <v>34</v>
      </c>
      <c r="B15" s="243"/>
      <c r="C15" s="243"/>
      <c r="D15" s="243"/>
      <c r="E15" s="244"/>
      <c r="F15" s="270"/>
      <c r="G15" s="270"/>
      <c r="H15" s="174">
        <v>9</v>
      </c>
      <c r="I15" s="465">
        <f t="shared" si="0"/>
        <v>1.7999999999999999E-2</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ht="13" x14ac:dyDescent="0.3">
      <c r="A16" s="286" t="s">
        <v>26</v>
      </c>
      <c r="B16" s="266" t="s">
        <v>6</v>
      </c>
      <c r="C16" s="287" t="s">
        <v>33</v>
      </c>
      <c r="D16" s="288" t="s">
        <v>90</v>
      </c>
      <c r="E16" s="269" t="s">
        <v>41</v>
      </c>
      <c r="F16" s="270"/>
      <c r="G16" s="270"/>
      <c r="H16" s="174">
        <v>10</v>
      </c>
      <c r="I16" s="465">
        <f t="shared" si="0"/>
        <v>2.0000000000000004E-2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ht="13" x14ac:dyDescent="0.3">
      <c r="A17" s="289" t="s">
        <v>246</v>
      </c>
      <c r="B17" s="290">
        <f>Vout/Vin/Fsw*1000000</f>
        <v>-5000</v>
      </c>
      <c r="C17" s="291" t="s">
        <v>247</v>
      </c>
      <c r="D17" s="292">
        <f>B17/1000000</f>
        <v>-5.0000000000000001E-3</v>
      </c>
      <c r="E17" s="281" t="s">
        <v>248</v>
      </c>
      <c r="F17" s="270"/>
      <c r="G17" s="270"/>
      <c r="H17" s="174">
        <v>11</v>
      </c>
      <c r="I17" s="465">
        <f t="shared" si="0"/>
        <v>2.2000000000000002E-2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ht="13" x14ac:dyDescent="0.3">
      <c r="A18" s="289" t="s">
        <v>249</v>
      </c>
      <c r="B18" s="290"/>
      <c r="C18" s="291" t="s">
        <v>247</v>
      </c>
      <c r="D18" s="293">
        <f>B18/1000000</f>
        <v>0</v>
      </c>
      <c r="E18" s="279" t="s">
        <v>250</v>
      </c>
      <c r="F18" s="270"/>
      <c r="G18" s="270"/>
      <c r="H18" s="174">
        <v>12</v>
      </c>
      <c r="I18" s="465">
        <f t="shared" si="0"/>
        <v>2.4E-2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5" x14ac:dyDescent="0.4">
      <c r="A19" s="283" t="s">
        <v>251</v>
      </c>
      <c r="B19" s="294">
        <f>(Vin-Vout-(Rdcr_pri+Rdson)*Iout)/L*OnTime*1000</f>
        <v>-2651666.666666667</v>
      </c>
      <c r="C19" s="281" t="s">
        <v>30</v>
      </c>
      <c r="D19" s="194">
        <f>B19/1000</f>
        <v>-2651.666666666667</v>
      </c>
      <c r="E19" s="279" t="s">
        <v>252</v>
      </c>
      <c r="F19" s="270"/>
      <c r="G19" s="270"/>
      <c r="H19" s="174">
        <v>13</v>
      </c>
      <c r="I19" s="465">
        <f t="shared" si="0"/>
        <v>2.6000000000000002E-2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ht="13" x14ac:dyDescent="0.3">
      <c r="A20" s="289" t="s">
        <v>253</v>
      </c>
      <c r="B20" s="295">
        <f>'LM(2)518x PSR flyback converter'!E13</f>
        <v>-0.1</v>
      </c>
      <c r="C20" s="279" t="s">
        <v>2</v>
      </c>
      <c r="D20" s="296">
        <f>B20*1000</f>
        <v>-100</v>
      </c>
      <c r="E20" s="281" t="s">
        <v>254</v>
      </c>
      <c r="F20" s="363"/>
      <c r="G20" s="270"/>
      <c r="H20" s="174">
        <v>14</v>
      </c>
      <c r="I20" s="465">
        <f t="shared" si="0"/>
        <v>2.8000000000000004E-2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ht="13" x14ac:dyDescent="0.3">
      <c r="A21" s="289" t="s">
        <v>417</v>
      </c>
      <c r="B21" s="294">
        <v>350</v>
      </c>
      <c r="C21" s="281" t="s">
        <v>2</v>
      </c>
      <c r="D21" s="296">
        <f>B21*1000</f>
        <v>350000</v>
      </c>
      <c r="E21" s="281" t="s">
        <v>418</v>
      </c>
      <c r="F21" s="270"/>
      <c r="G21" s="270"/>
      <c r="H21" s="174">
        <v>15</v>
      </c>
      <c r="I21" s="465">
        <f t="shared" si="0"/>
        <v>0.03</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ht="13" x14ac:dyDescent="0.3">
      <c r="A22" s="297" t="s">
        <v>38</v>
      </c>
      <c r="B22" s="298">
        <v>10</v>
      </c>
      <c r="C22" s="279" t="s">
        <v>32</v>
      </c>
      <c r="D22" s="299">
        <f>B22/1000000000</f>
        <v>1E-8</v>
      </c>
      <c r="E22" s="192" t="s">
        <v>255</v>
      </c>
      <c r="F22" s="270"/>
      <c r="G22" s="270"/>
      <c r="H22" s="174">
        <v>16</v>
      </c>
      <c r="I22" s="465">
        <f t="shared" si="0"/>
        <v>3.2000000000000001E-2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ht="13" x14ac:dyDescent="0.3">
      <c r="A23" s="297" t="s">
        <v>39</v>
      </c>
      <c r="B23" s="298">
        <v>10</v>
      </c>
      <c r="C23" s="279" t="s">
        <v>32</v>
      </c>
      <c r="D23" s="299">
        <f>B23/1000000000</f>
        <v>1E-8</v>
      </c>
      <c r="E23" s="192" t="s">
        <v>256</v>
      </c>
      <c r="F23" s="270"/>
      <c r="G23" s="270"/>
      <c r="H23" s="174">
        <v>17</v>
      </c>
      <c r="I23" s="465">
        <f t="shared" si="0"/>
        <v>3.4000000000000002E-2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ht="13" x14ac:dyDescent="0.3">
      <c r="A24" s="244"/>
      <c r="B24" s="244"/>
      <c r="C24" s="244"/>
      <c r="D24" s="244"/>
      <c r="E24" s="244"/>
      <c r="F24" s="270"/>
      <c r="G24" s="270"/>
      <c r="H24" s="174">
        <v>18</v>
      </c>
      <c r="I24" s="465">
        <f t="shared" si="0"/>
        <v>3.5999999999999997E-2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ht="13" x14ac:dyDescent="0.3">
      <c r="A25" s="286" t="s">
        <v>29</v>
      </c>
      <c r="B25" s="267" t="s">
        <v>43</v>
      </c>
      <c r="C25" s="287" t="s">
        <v>33</v>
      </c>
      <c r="D25" s="288" t="s">
        <v>90</v>
      </c>
      <c r="E25" s="269" t="s">
        <v>41</v>
      </c>
      <c r="F25" s="270"/>
      <c r="G25" s="270"/>
      <c r="H25" s="174">
        <v>19</v>
      </c>
      <c r="I25" s="465">
        <f t="shared" si="0"/>
        <v>3.8000000000000006E-2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35">
      <c r="A26" s="300" t="s">
        <v>27</v>
      </c>
      <c r="B26" s="281">
        <f>'LM(2)518x PSR flyback converter'!L7</f>
        <v>30</v>
      </c>
      <c r="C26" s="291" t="s">
        <v>96</v>
      </c>
      <c r="D26" s="198">
        <f>B26/1000000</f>
        <v>3.0000000000000001E-5</v>
      </c>
      <c r="E26" s="281" t="s">
        <v>257</v>
      </c>
      <c r="F26" s="301"/>
      <c r="G26" s="270"/>
      <c r="H26" s="174">
        <v>20</v>
      </c>
      <c r="I26" s="465">
        <f t="shared" si="0"/>
        <v>4.0000000000000008E-2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35">
      <c r="A27" s="302" t="s">
        <v>392</v>
      </c>
      <c r="B27" s="303">
        <f>'LM(2)518x PSR flyback converter'!L8</f>
        <v>100</v>
      </c>
      <c r="C27" s="304" t="s">
        <v>258</v>
      </c>
      <c r="D27" s="198">
        <f>B27/1000</f>
        <v>0.1</v>
      </c>
      <c r="E27" s="281" t="s">
        <v>487</v>
      </c>
      <c r="F27" s="270"/>
      <c r="G27" s="270"/>
      <c r="H27" s="174">
        <v>21</v>
      </c>
      <c r="I27" s="465">
        <f t="shared" si="0"/>
        <v>4.2000000000000003E-2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35">
      <c r="A28" s="302" t="s">
        <v>455</v>
      </c>
      <c r="B28" s="303">
        <f>'LM(2)518x PSR flyback converter'!L9</f>
        <v>30</v>
      </c>
      <c r="C28" s="304" t="s">
        <v>258</v>
      </c>
      <c r="D28" s="198">
        <f>B28/1000</f>
        <v>0.03</v>
      </c>
      <c r="E28" s="281" t="s">
        <v>661</v>
      </c>
      <c r="F28" s="270"/>
      <c r="G28" s="270"/>
      <c r="H28" s="174">
        <v>22</v>
      </c>
      <c r="I28" s="465">
        <f t="shared" si="0"/>
        <v>4.4000000000000004E-2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35">
      <c r="A29" s="305" t="s">
        <v>259</v>
      </c>
      <c r="B29" s="306">
        <v>0</v>
      </c>
      <c r="C29" s="304"/>
      <c r="D29" s="307">
        <f>B29</f>
        <v>0</v>
      </c>
      <c r="E29" s="308" t="s">
        <v>486</v>
      </c>
      <c r="F29" s="270"/>
      <c r="G29" s="270"/>
      <c r="H29" s="174">
        <v>23</v>
      </c>
      <c r="I29" s="465">
        <f t="shared" si="0"/>
        <v>4.6000000000000006E-2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35">
      <c r="A30" s="309" t="s">
        <v>28</v>
      </c>
      <c r="B30" s="303">
        <f>'LM(2)518x PSR flyback converter'!E18</f>
        <v>10</v>
      </c>
      <c r="C30" s="310" t="s">
        <v>97</v>
      </c>
      <c r="D30" s="311">
        <f>B30/1000000</f>
        <v>1.0000000000000001E-5</v>
      </c>
      <c r="E30" s="312" t="s">
        <v>60</v>
      </c>
      <c r="F30" s="270"/>
      <c r="G30" s="270"/>
      <c r="H30" s="174">
        <v>24</v>
      </c>
      <c r="I30" s="465">
        <f t="shared" si="0"/>
        <v>4.8000000000000001E-2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35">
      <c r="A31" s="305" t="s">
        <v>260</v>
      </c>
      <c r="B31" s="303">
        <f>'LM(2)518x PSR flyback converter'!E19</f>
        <v>3</v>
      </c>
      <c r="C31" s="304" t="s">
        <v>258</v>
      </c>
      <c r="D31" s="198">
        <f>B31/1000</f>
        <v>3.0000000000000001E-3</v>
      </c>
      <c r="E31" s="281" t="s">
        <v>261</v>
      </c>
      <c r="F31" s="270"/>
      <c r="G31" s="270"/>
      <c r="H31" s="174">
        <v>25</v>
      </c>
      <c r="I31" s="465">
        <f t="shared" si="0"/>
        <v>0.05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35">
      <c r="A32" s="300" t="s">
        <v>14</v>
      </c>
      <c r="B32" s="362">
        <f>'LM(2)518x PSR flyback converter'!E22</f>
        <v>100</v>
      </c>
      <c r="C32" s="291" t="s">
        <v>97</v>
      </c>
      <c r="D32" s="292">
        <f>B32/1000000</f>
        <v>1E-4</v>
      </c>
      <c r="E32" s="281" t="s">
        <v>262</v>
      </c>
      <c r="F32" s="270"/>
      <c r="G32" s="270"/>
      <c r="H32" s="174">
        <v>26</v>
      </c>
      <c r="I32" s="465">
        <f t="shared" si="0"/>
        <v>5.2000000000000005E-2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ht="13" x14ac:dyDescent="0.3">
      <c r="A33" s="305" t="s">
        <v>263</v>
      </c>
      <c r="B33" s="362">
        <f>'LM(2)518x PSR flyback converter'!E23</f>
        <v>3</v>
      </c>
      <c r="C33" s="304" t="s">
        <v>258</v>
      </c>
      <c r="D33" s="198">
        <f>B33/1000</f>
        <v>3.0000000000000001E-3</v>
      </c>
      <c r="E33" s="281" t="s">
        <v>264</v>
      </c>
      <c r="F33" s="270"/>
      <c r="G33" s="270"/>
      <c r="H33" s="174">
        <v>27</v>
      </c>
      <c r="I33" s="465">
        <f t="shared" si="0"/>
        <v>5.4000000000000006E-2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ht="13" x14ac:dyDescent="0.3">
      <c r="A34" s="313" t="s">
        <v>401</v>
      </c>
      <c r="B34" s="267"/>
      <c r="C34" s="313" t="s">
        <v>33</v>
      </c>
      <c r="D34" s="314" t="s">
        <v>90</v>
      </c>
      <c r="E34" s="315" t="s">
        <v>41</v>
      </c>
      <c r="F34" s="270"/>
      <c r="G34" s="270"/>
      <c r="H34" s="174">
        <v>28</v>
      </c>
      <c r="I34" s="465">
        <f t="shared" si="0"/>
        <v>5.6000000000000008E-2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ht="13" x14ac:dyDescent="0.3">
      <c r="A35" s="302" t="s">
        <v>406</v>
      </c>
      <c r="B35" s="316">
        <f>CHOOSE(VARIANT, 1.5, 0.75, 1.5, 2.5, 4.1)</f>
        <v>1.5</v>
      </c>
      <c r="C35" s="291" t="s">
        <v>1</v>
      </c>
      <c r="D35" s="273">
        <f>B35</f>
        <v>1.5</v>
      </c>
      <c r="E35" s="192" t="s">
        <v>405</v>
      </c>
      <c r="F35" s="270"/>
      <c r="G35" s="270"/>
      <c r="H35" s="174">
        <v>29</v>
      </c>
      <c r="I35" s="465">
        <f t="shared" si="0"/>
        <v>5.7999999999999996E-2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ht="13" x14ac:dyDescent="0.3">
      <c r="A36" s="302" t="s">
        <v>414</v>
      </c>
      <c r="B36" s="316">
        <f>B35/5</f>
        <v>0.3</v>
      </c>
      <c r="C36" s="291" t="s">
        <v>1</v>
      </c>
      <c r="D36" s="273">
        <f>B36</f>
        <v>0.3</v>
      </c>
      <c r="E36" s="192" t="s">
        <v>415</v>
      </c>
      <c r="F36" s="270"/>
      <c r="G36" s="270"/>
      <c r="H36" s="174">
        <v>30</v>
      </c>
      <c r="I36" s="465">
        <f t="shared" si="0"/>
        <v>0.06</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35">
      <c r="A37" s="302" t="s">
        <v>693</v>
      </c>
      <c r="B37" s="650">
        <v>30</v>
      </c>
      <c r="C37" s="174" t="s">
        <v>32</v>
      </c>
      <c r="D37" s="174">
        <f>B37*0.000000001</f>
        <v>3.0000000000000004E-8</v>
      </c>
      <c r="E37" s="174" t="s">
        <v>694</v>
      </c>
      <c r="F37" s="270"/>
      <c r="G37" s="270"/>
      <c r="H37" s="174">
        <v>31</v>
      </c>
      <c r="I37" s="465">
        <f t="shared" si="0"/>
        <v>6.2E-2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 thickBot="1" x14ac:dyDescent="0.3">
      <c r="A38" s="317" t="s">
        <v>47</v>
      </c>
      <c r="B38" s="536">
        <v>1</v>
      </c>
      <c r="C38" s="291"/>
      <c r="D38" s="273">
        <f>B38</f>
        <v>1</v>
      </c>
      <c r="E38" s="192" t="s">
        <v>416</v>
      </c>
      <c r="H38" s="174">
        <v>32</v>
      </c>
      <c r="I38" s="465">
        <f t="shared" ref="I38:I69" si="24">IF(PLOT_TYPE=1, H38/100*Iout_max, min_I*EXP(H38*rr/100))</f>
        <v>6.4000000000000001E-2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5">
      <c r="A39" s="302" t="s">
        <v>24</v>
      </c>
      <c r="B39" s="318">
        <v>290</v>
      </c>
      <c r="C39" s="291" t="s">
        <v>265</v>
      </c>
      <c r="D39" s="293">
        <f>B39/1000000</f>
        <v>2.9E-4</v>
      </c>
      <c r="E39" s="281" t="s">
        <v>488</v>
      </c>
      <c r="H39" s="174">
        <v>33</v>
      </c>
      <c r="I39" s="465">
        <f t="shared" si="24"/>
        <v>6.6000000000000003E-2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35">
      <c r="A40" s="313" t="s">
        <v>398</v>
      </c>
      <c r="B40" s="319"/>
      <c r="C40" s="313" t="s">
        <v>33</v>
      </c>
      <c r="D40" s="314" t="s">
        <v>90</v>
      </c>
      <c r="E40" s="320" t="s">
        <v>41</v>
      </c>
      <c r="H40" s="174">
        <v>34</v>
      </c>
      <c r="I40" s="465">
        <f t="shared" si="24"/>
        <v>6.8000000000000005E-2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5">
      <c r="A41" s="321" t="s">
        <v>399</v>
      </c>
      <c r="B41" s="322">
        <f>CHOOSE(VARIANT, 350, 350, 350, 110, 110)</f>
        <v>350</v>
      </c>
      <c r="C41" s="282" t="s">
        <v>258</v>
      </c>
      <c r="D41" s="175">
        <f>B41/1000</f>
        <v>0.35</v>
      </c>
      <c r="E41" s="281" t="s">
        <v>403</v>
      </c>
      <c r="H41" s="174">
        <v>35</v>
      </c>
      <c r="I41" s="465">
        <f t="shared" si="24"/>
        <v>6.9999999999999993E-2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 thickBot="1" x14ac:dyDescent="0.3">
      <c r="A42" s="174" t="s">
        <v>687</v>
      </c>
      <c r="B42" s="174">
        <v>4500</v>
      </c>
      <c r="C42" s="645" t="s">
        <v>688</v>
      </c>
      <c r="D42" s="175">
        <f>B42/1000000</f>
        <v>4.4999999999999997E-3</v>
      </c>
      <c r="E42" s="646" t="s">
        <v>689</v>
      </c>
      <c r="H42" s="174">
        <v>36</v>
      </c>
      <c r="I42" s="465">
        <f t="shared" si="24"/>
        <v>7.1999999999999995E-2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35">
      <c r="A43" s="302" t="s">
        <v>266</v>
      </c>
      <c r="B43" s="323"/>
      <c r="C43" s="324" t="s">
        <v>267</v>
      </c>
      <c r="D43" s="175"/>
      <c r="E43" s="281" t="s">
        <v>266</v>
      </c>
      <c r="H43" s="174">
        <v>37</v>
      </c>
      <c r="I43" s="465">
        <f t="shared" si="24"/>
        <v>7.3999999999999996E-2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 thickBot="1" x14ac:dyDescent="0.3">
      <c r="A44" s="302" t="s">
        <v>400</v>
      </c>
      <c r="B44" s="322">
        <f>CHOOSE(VARIANT, 2.5, 2.5, 2.5, 10, 10)</f>
        <v>2.5</v>
      </c>
      <c r="C44" s="291" t="s">
        <v>31</v>
      </c>
      <c r="D44" s="175">
        <f>B44/1000000000</f>
        <v>2.5000000000000001E-9</v>
      </c>
      <c r="E44" s="281" t="s">
        <v>402</v>
      </c>
      <c r="H44" s="174">
        <v>38</v>
      </c>
      <c r="I44" s="465">
        <f t="shared" si="24"/>
        <v>7.6000000000000012E-2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 thickBot="1" x14ac:dyDescent="0.3">
      <c r="A45" s="305" t="s">
        <v>240</v>
      </c>
      <c r="B45" s="322">
        <f>CHOOSE(VARIANT, 50, 50, 50, 200, 200)</f>
        <v>50</v>
      </c>
      <c r="C45" s="291" t="s">
        <v>15</v>
      </c>
      <c r="D45" s="325">
        <f>B45/1000000000000</f>
        <v>5.0000000000000002E-11</v>
      </c>
      <c r="E45" s="281" t="s">
        <v>327</v>
      </c>
      <c r="H45" s="174">
        <v>39</v>
      </c>
      <c r="I45" s="465">
        <f t="shared" si="24"/>
        <v>7.8000000000000014E-2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5">
      <c r="A46" s="328" t="s">
        <v>326</v>
      </c>
      <c r="B46" s="322">
        <f>CHOOSE(VARIANT, 50, 50, 50, 250, 250)</f>
        <v>50</v>
      </c>
      <c r="C46" s="291" t="s">
        <v>15</v>
      </c>
      <c r="D46" s="293">
        <f>B46/1000000000000</f>
        <v>5.0000000000000002E-11</v>
      </c>
      <c r="E46" s="281" t="s">
        <v>479</v>
      </c>
      <c r="H46" s="174">
        <v>40</v>
      </c>
      <c r="I46" s="465">
        <f t="shared" si="24"/>
        <v>8.0000000000000016E-2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35">
      <c r="A47" s="313" t="s">
        <v>404</v>
      </c>
      <c r="B47" s="326"/>
      <c r="C47" s="313" t="s">
        <v>33</v>
      </c>
      <c r="D47" s="314" t="s">
        <v>90</v>
      </c>
      <c r="E47" s="327" t="s">
        <v>41</v>
      </c>
      <c r="H47" s="174">
        <v>41</v>
      </c>
      <c r="I47" s="465">
        <f t="shared" si="24"/>
        <v>8.2000000000000003E-2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 thickBot="1" x14ac:dyDescent="0.3">
      <c r="A48" s="321" t="s">
        <v>659</v>
      </c>
      <c r="B48" s="322">
        <f>'LM(2)518x PSR flyback converter'!E42</f>
        <v>0.32</v>
      </c>
      <c r="C48" s="279" t="s">
        <v>0</v>
      </c>
      <c r="D48" s="175">
        <f>B48</f>
        <v>0.32</v>
      </c>
      <c r="E48" s="281" t="s">
        <v>658</v>
      </c>
      <c r="H48" s="174">
        <v>42</v>
      </c>
      <c r="I48" s="465">
        <f t="shared" si="24"/>
        <v>8.4000000000000005E-2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 thickBot="1" x14ac:dyDescent="0.3">
      <c r="A49" s="321" t="s">
        <v>660</v>
      </c>
      <c r="B49" s="322">
        <f>'LM(2)518x PSR flyback converter'!E43</f>
        <v>0.4</v>
      </c>
      <c r="C49" s="279" t="s">
        <v>0</v>
      </c>
      <c r="D49" s="175">
        <f>B49</f>
        <v>0.4</v>
      </c>
      <c r="E49" s="281" t="s">
        <v>657</v>
      </c>
      <c r="H49" s="174">
        <v>43</v>
      </c>
      <c r="I49" s="465">
        <f t="shared" si="24"/>
        <v>8.6000000000000007E-2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 thickBot="1" x14ac:dyDescent="0.3">
      <c r="A50" s="321" t="s">
        <v>268</v>
      </c>
      <c r="B50" s="322">
        <f>(B49-B48)/Iout</f>
        <v>0.40000000000000008</v>
      </c>
      <c r="C50" s="282" t="s">
        <v>45</v>
      </c>
      <c r="D50" s="175">
        <f>B50</f>
        <v>0.40000000000000008</v>
      </c>
      <c r="E50" s="281" t="s">
        <v>811</v>
      </c>
      <c r="H50" s="174">
        <v>44</v>
      </c>
      <c r="I50" s="465">
        <f t="shared" si="24"/>
        <v>8.8000000000000009E-2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 thickBot="1" x14ac:dyDescent="0.3">
      <c r="A51" s="302" t="s">
        <v>407</v>
      </c>
      <c r="B51" s="322">
        <v>2</v>
      </c>
      <c r="C51" s="291" t="s">
        <v>31</v>
      </c>
      <c r="D51" s="293">
        <f>B51*0.000000001</f>
        <v>2.0000000000000001E-9</v>
      </c>
      <c r="E51" s="281" t="s">
        <v>269</v>
      </c>
      <c r="H51" s="174">
        <v>45</v>
      </c>
      <c r="I51" s="465">
        <f t="shared" si="24"/>
        <v>9.0000000000000011E-2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 thickBot="1" x14ac:dyDescent="0.3">
      <c r="A52" s="302" t="s">
        <v>408</v>
      </c>
      <c r="B52" s="322">
        <v>10</v>
      </c>
      <c r="C52" s="291" t="s">
        <v>32</v>
      </c>
      <c r="D52" s="293">
        <f>B52*0.000000001</f>
        <v>1E-8</v>
      </c>
      <c r="E52" s="281" t="s">
        <v>270</v>
      </c>
      <c r="H52" s="174">
        <v>46</v>
      </c>
      <c r="I52" s="465">
        <f t="shared" si="24"/>
        <v>9.2000000000000012E-2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5">
      <c r="A53" s="328" t="s">
        <v>497</v>
      </c>
      <c r="B53" s="322">
        <v>0</v>
      </c>
      <c r="C53" s="279" t="s">
        <v>271</v>
      </c>
      <c r="D53" s="293">
        <f>B53/1000000</f>
        <v>0</v>
      </c>
      <c r="E53" s="281" t="s">
        <v>272</v>
      </c>
      <c r="H53" s="174">
        <v>47</v>
      </c>
      <c r="I53" s="465">
        <f t="shared" si="24"/>
        <v>9.4E-2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5">
      <c r="A54" s="174" t="s">
        <v>691</v>
      </c>
      <c r="B54" s="201">
        <f>'LM(2)518x PSR flyback converter'!E44</f>
        <v>41</v>
      </c>
      <c r="C54" s="645" t="s">
        <v>84</v>
      </c>
      <c r="D54" s="201">
        <f>B54</f>
        <v>41</v>
      </c>
      <c r="E54" s="174" t="s">
        <v>690</v>
      </c>
      <c r="H54" s="174">
        <v>48</v>
      </c>
      <c r="I54" s="465">
        <f t="shared" si="24"/>
        <v>9.6000000000000002E-2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5">
      <c r="H55" s="174">
        <v>49</v>
      </c>
      <c r="I55" s="465">
        <f t="shared" si="24"/>
        <v>9.8000000000000004E-2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5">
      <c r="H56" s="174">
        <v>50</v>
      </c>
      <c r="I56" s="465">
        <f t="shared" si="24"/>
        <v>0.1</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5">
      <c r="H57" s="174">
        <v>51</v>
      </c>
      <c r="I57" s="465">
        <f t="shared" si="24"/>
        <v>0.10200000000000001</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5">
      <c r="H58" s="174">
        <v>52</v>
      </c>
      <c r="I58" s="465">
        <f t="shared" si="24"/>
        <v>0.10400000000000001</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5">
      <c r="H59" s="174">
        <v>53</v>
      </c>
      <c r="I59" s="465">
        <f t="shared" si="24"/>
        <v>0.10600000000000001</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5">
      <c r="H60" s="174">
        <v>54</v>
      </c>
      <c r="I60" s="465">
        <f t="shared" si="24"/>
        <v>0.10800000000000001</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5">
      <c r="H61" s="174">
        <v>55</v>
      </c>
      <c r="I61" s="465">
        <f t="shared" si="24"/>
        <v>0.11000000000000001</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5">
      <c r="H62" s="174">
        <v>56</v>
      </c>
      <c r="I62" s="465">
        <f t="shared" si="24"/>
        <v>0.11200000000000002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ht="13" x14ac:dyDescent="0.3">
      <c r="F63" s="329" t="s">
        <v>273</v>
      </c>
      <c r="G63" s="329" t="s">
        <v>274</v>
      </c>
      <c r="H63" s="174">
        <v>57</v>
      </c>
      <c r="I63" s="465">
        <f t="shared" si="24"/>
        <v>0.11399999999999999</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5">
      <c r="F64" s="330">
        <f>BM56</f>
        <v>0</v>
      </c>
      <c r="G64" s="331">
        <f>I56*1000</f>
        <v>100</v>
      </c>
      <c r="H64" s="174">
        <v>58</v>
      </c>
      <c r="I64" s="465">
        <f t="shared" si="24"/>
        <v>0.11599999999999999</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5">
      <c r="F65" s="330">
        <f>BM81</f>
        <v>0</v>
      </c>
      <c r="G65" s="331">
        <f>I81*1000</f>
        <v>150.00000000000003</v>
      </c>
      <c r="H65" s="174">
        <v>59</v>
      </c>
      <c r="I65" s="465">
        <f t="shared" si="24"/>
        <v>0.11799999999999999</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5">
      <c r="F66" s="330">
        <f>BM106</f>
        <v>100</v>
      </c>
      <c r="G66" s="331">
        <f>I106*1000</f>
        <v>200</v>
      </c>
      <c r="H66" s="174">
        <v>60</v>
      </c>
      <c r="I66" s="465">
        <f t="shared" si="24"/>
        <v>0.12</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5">
      <c r="H67" s="174">
        <v>61</v>
      </c>
      <c r="I67" s="465">
        <f t="shared" si="24"/>
        <v>0.122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5">
      <c r="H68" s="174">
        <v>62</v>
      </c>
      <c r="I68" s="465">
        <f t="shared" si="24"/>
        <v>0.124</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5">
      <c r="H69" s="174">
        <v>63</v>
      </c>
      <c r="I69" s="465">
        <f t="shared" si="24"/>
        <v>0.126</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5">
      <c r="H70" s="174">
        <v>64</v>
      </c>
      <c r="I70" s="465">
        <f t="shared" ref="I70:I101" si="25">IF(PLOT_TYPE=1, H70/100*Iout_max, min_I*EXP(H70*rr/100))</f>
        <v>0.128</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5">
      <c r="H71" s="174">
        <v>65</v>
      </c>
      <c r="I71" s="465">
        <f t="shared" si="25"/>
        <v>0.13</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5">
      <c r="H72" s="174">
        <v>66</v>
      </c>
      <c r="I72" s="465">
        <f t="shared" si="25"/>
        <v>0.13200000000000001</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5">
      <c r="H73" s="174">
        <v>67</v>
      </c>
      <c r="I73" s="465">
        <f t="shared" si="25"/>
        <v>0.13400000000000001</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5">
      <c r="H74" s="174">
        <v>68</v>
      </c>
      <c r="I74" s="465">
        <f t="shared" si="25"/>
        <v>0.13600000000000001</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5">
      <c r="H75" s="174">
        <v>69</v>
      </c>
      <c r="I75" s="465">
        <f t="shared" si="25"/>
        <v>0.13799999999999998</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5">
      <c r="H76" s="174">
        <v>70</v>
      </c>
      <c r="I76" s="465">
        <f t="shared" si="25"/>
        <v>0.13999999999999999</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5">
      <c r="H77" s="174">
        <v>71</v>
      </c>
      <c r="I77" s="465">
        <f t="shared" si="25"/>
        <v>0.14199999999999999</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5">
      <c r="H78" s="174">
        <v>72</v>
      </c>
      <c r="I78" s="465">
        <f t="shared" si="25"/>
        <v>0.14399999999999999</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5">
      <c r="H79" s="174">
        <v>73</v>
      </c>
      <c r="I79" s="465">
        <f t="shared" si="25"/>
        <v>0.14599999999999999</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5">
      <c r="H80" s="174">
        <v>74</v>
      </c>
      <c r="I80" s="465">
        <f t="shared" si="25"/>
        <v>0.14799999999999999</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5">
      <c r="H81" s="174">
        <v>75</v>
      </c>
      <c r="I81" s="465">
        <f t="shared" si="25"/>
        <v>0.15000000000000002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5">
      <c r="H82" s="174">
        <v>76</v>
      </c>
      <c r="I82" s="465">
        <f t="shared" si="25"/>
        <v>0.15200000000000002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5">
      <c r="H83" s="174">
        <v>77</v>
      </c>
      <c r="I83" s="465">
        <f t="shared" si="25"/>
        <v>0.15400000000000003</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5">
      <c r="H84" s="174">
        <v>78</v>
      </c>
      <c r="I84" s="465">
        <f t="shared" si="25"/>
        <v>0.15600000000000003</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5">
      <c r="H85" s="174">
        <v>79</v>
      </c>
      <c r="I85" s="465">
        <f t="shared" si="25"/>
        <v>0.15800000000000003</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5">
      <c r="H86" s="174">
        <v>80</v>
      </c>
      <c r="I86" s="465">
        <f t="shared" si="25"/>
        <v>0.16000000000000003</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5">
      <c r="H87" s="174">
        <v>81</v>
      </c>
      <c r="I87" s="465">
        <f t="shared" si="25"/>
        <v>0.16200000000000003</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ht="13" x14ac:dyDescent="0.3">
      <c r="F88" s="329" t="s">
        <v>273</v>
      </c>
      <c r="G88" s="329" t="s">
        <v>274</v>
      </c>
      <c r="H88" s="174">
        <v>82</v>
      </c>
      <c r="I88" s="465">
        <f t="shared" si="25"/>
        <v>0.16400000000000001</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5">
      <c r="F89" s="330">
        <f>BO51</f>
        <v>0</v>
      </c>
      <c r="G89" s="331">
        <f>I56*1000</f>
        <v>100</v>
      </c>
      <c r="H89" s="174">
        <v>83</v>
      </c>
      <c r="I89" s="465">
        <f t="shared" si="25"/>
        <v>0.16600000000000001</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5">
      <c r="F90" s="330">
        <f>BO81</f>
        <v>0</v>
      </c>
      <c r="G90" s="331">
        <f>I81*1000</f>
        <v>150.00000000000003</v>
      </c>
      <c r="H90" s="174">
        <v>84</v>
      </c>
      <c r="I90" s="465">
        <f t="shared" si="25"/>
        <v>0.16800000000000001</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5">
      <c r="F91" s="330">
        <f>BO106</f>
        <v>88.698181382326453</v>
      </c>
      <c r="G91" s="331">
        <f>I106*1000</f>
        <v>200</v>
      </c>
      <c r="H91" s="174">
        <v>85</v>
      </c>
      <c r="I91" s="465">
        <f t="shared" si="25"/>
        <v>0.17</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5">
      <c r="H92" s="174">
        <v>86</v>
      </c>
      <c r="I92" s="465">
        <f t="shared" si="25"/>
        <v>0.17200000000000001</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5">
      <c r="H93" s="174">
        <v>87</v>
      </c>
      <c r="I93" s="465">
        <f t="shared" si="25"/>
        <v>0.17400000000000002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5">
      <c r="H94" s="174">
        <v>88</v>
      </c>
      <c r="I94" s="465">
        <f t="shared" si="25"/>
        <v>0.17600000000000002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5">
      <c r="H95" s="174">
        <v>89</v>
      </c>
      <c r="I95" s="465">
        <f t="shared" si="25"/>
        <v>0.17800000000000002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5">
      <c r="H96" s="174">
        <v>90</v>
      </c>
      <c r="I96" s="465">
        <f t="shared" si="25"/>
        <v>0.18000000000000002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5">
      <c r="H97" s="174">
        <v>91</v>
      </c>
      <c r="I97" s="465">
        <f t="shared" si="25"/>
        <v>0.18200000000000002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5">
      <c r="H98" s="174">
        <v>92</v>
      </c>
      <c r="I98" s="465">
        <f t="shared" si="25"/>
        <v>0.18400000000000002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5">
      <c r="H99" s="174">
        <v>93</v>
      </c>
      <c r="I99" s="465">
        <f t="shared" si="25"/>
        <v>0.18600000000000003</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5">
      <c r="H100" s="174">
        <v>94</v>
      </c>
      <c r="I100" s="465">
        <f t="shared" si="25"/>
        <v>0.188</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5">
      <c r="H101" s="174">
        <v>95</v>
      </c>
      <c r="I101" s="465">
        <f t="shared" si="25"/>
        <v>0.19</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5">
      <c r="H102" s="174">
        <v>96</v>
      </c>
      <c r="I102" s="465">
        <f t="shared" ref="I102:I106" si="26">IF(PLOT_TYPE=1, H102/100*Iout_max, min_I*EXP(H102*rr/100))</f>
        <v>0.192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5">
      <c r="H103" s="174">
        <v>97</v>
      </c>
      <c r="I103" s="465">
        <f t="shared" si="26"/>
        <v>0.19400000000000001</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5">
      <c r="H104" s="174">
        <v>98</v>
      </c>
      <c r="I104" s="465">
        <f t="shared" si="26"/>
        <v>0.19600000000000001</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5">
      <c r="H105" s="174">
        <v>99</v>
      </c>
      <c r="I105" s="465">
        <f t="shared" si="26"/>
        <v>0.19800000000000001</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5">
      <c r="H106" s="174">
        <v>100</v>
      </c>
      <c r="I106" s="465">
        <f t="shared" si="26"/>
        <v>0.2</v>
      </c>
      <c r="J106" s="221"/>
      <c r="K106" s="221"/>
      <c r="L106" s="221"/>
      <c r="M106" s="221"/>
      <c r="N106" s="271"/>
      <c r="O106" s="176"/>
      <c r="P106" s="221"/>
      <c r="Q106" s="451"/>
      <c r="S106" s="272"/>
      <c r="T106" s="272"/>
      <c r="U106" s="272"/>
      <c r="AJ106" s="451"/>
      <c r="AY106" s="220">
        <f>Vout*I106</f>
        <v>3.2</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t="e">
        <f xml:space="preserve"> CHOOSE(MODE, I106*1000,#REF!)</f>
        <v>#REF!</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t="e">
        <f xml:space="preserve"> IF(MODE=1, BM106,#REF!)</f>
        <v>#REF!</v>
      </c>
      <c r="CA106" s="176" t="e">
        <f xml:space="preserve"> IF(MODE=1, BU106,#REF!)</f>
        <v>#REF!</v>
      </c>
      <c r="CB106" s="176" t="e">
        <f xml:space="preserve"> IF(MODE=1, BV106,#REF!)</f>
        <v>#REF!</v>
      </c>
      <c r="CC106" s="176" t="e">
        <f xml:space="preserve"> IF(MODE=1, BW106,#REF!)</f>
        <v>#REF!</v>
      </c>
    </row>
    <row r="107" spans="8:81" x14ac:dyDescent="0.25">
      <c r="BQ107" s="274"/>
      <c r="BR107" s="275"/>
      <c r="BS107" s="275"/>
      <c r="BT107" s="276"/>
      <c r="BX107" s="223"/>
      <c r="BY107" s="223"/>
    </row>
    <row r="108" spans="8:81" ht="13" x14ac:dyDescent="0.3">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ht="13" x14ac:dyDescent="0.3">
      <c r="H109" s="335">
        <f>Iout_max</f>
        <v>0.2</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ht="13" x14ac:dyDescent="0.3">
      <c r="H110" s="335">
        <f>LOG(max_I/min_I,EXP(1))</f>
        <v>9.9034875525361272</v>
      </c>
      <c r="I110" s="221"/>
      <c r="J110" s="334" t="s">
        <v>278</v>
      </c>
    </row>
    <row r="111" spans="8:81" ht="13" x14ac:dyDescent="0.3">
      <c r="AZ111" s="336"/>
      <c r="BA111" s="356"/>
      <c r="BB111" s="356"/>
      <c r="BC111" s="356"/>
      <c r="BD111" s="356"/>
      <c r="BE111" s="356"/>
      <c r="BF111" s="356"/>
      <c r="BG111" s="356"/>
      <c r="BH111" s="356"/>
      <c r="BI111" s="356"/>
      <c r="BJ111" s="356"/>
    </row>
    <row r="112" spans="8:81" ht="13" x14ac:dyDescent="0.3">
      <c r="J112" s="338"/>
      <c r="R112" s="339"/>
      <c r="S112" s="339"/>
      <c r="T112" s="339"/>
      <c r="U112" s="339"/>
      <c r="V112" s="340"/>
    </row>
    <row r="113" spans="10:22" ht="13" x14ac:dyDescent="0.3">
      <c r="J113" s="338"/>
      <c r="R113" s="339"/>
      <c r="S113" s="339"/>
      <c r="T113" s="339"/>
      <c r="U113" s="339"/>
      <c r="V113" s="340"/>
    </row>
    <row r="114" spans="10:22" ht="13" x14ac:dyDescent="0.3">
      <c r="R114" s="341"/>
      <c r="S114" s="341"/>
      <c r="T114" s="341"/>
      <c r="U114" s="341"/>
      <c r="V114" s="340"/>
    </row>
    <row r="116" spans="10:22" ht="13" x14ac:dyDescent="0.3">
      <c r="R116" s="341"/>
      <c r="S116" s="341"/>
      <c r="T116" s="341"/>
      <c r="U116" s="341"/>
      <c r="V116" s="340"/>
    </row>
    <row r="121" spans="10:22" x14ac:dyDescent="0.25">
      <c r="V121" s="334"/>
    </row>
    <row r="122" spans="10:22" x14ac:dyDescent="0.25">
      <c r="O122" s="334"/>
      <c r="P122" s="334"/>
      <c r="Q122" s="334"/>
    </row>
    <row r="123" spans="10:22" x14ac:dyDescent="0.25">
      <c r="O123" s="334"/>
      <c r="P123" s="334"/>
      <c r="Q123" s="334"/>
    </row>
    <row r="124" spans="10:22" x14ac:dyDescent="0.25">
      <c r="O124" s="334"/>
      <c r="P124" s="334"/>
      <c r="Q124" s="334"/>
    </row>
    <row r="125" spans="10:22" x14ac:dyDescent="0.25">
      <c r="O125" s="334"/>
      <c r="P125" s="334"/>
      <c r="Q125" s="334"/>
    </row>
    <row r="126" spans="10:22" x14ac:dyDescent="0.25">
      <c r="J126" s="342"/>
      <c r="O126" s="334"/>
      <c r="P126" s="334"/>
      <c r="Q126" s="334"/>
    </row>
    <row r="127" spans="10:22" x14ac:dyDescent="0.25">
      <c r="J127" s="342"/>
      <c r="O127" s="334"/>
      <c r="P127" s="334"/>
      <c r="Q127" s="334"/>
    </row>
    <row r="128" spans="10:22" x14ac:dyDescent="0.25">
      <c r="J128" s="342"/>
      <c r="O128" s="334"/>
      <c r="P128" s="334"/>
      <c r="Q128" s="334"/>
    </row>
    <row r="129" spans="10:17" x14ac:dyDescent="0.25">
      <c r="J129" s="333"/>
      <c r="O129" s="334"/>
      <c r="P129" s="334"/>
      <c r="Q129" s="334"/>
    </row>
    <row r="130" spans="10:17" x14ac:dyDescent="0.25">
      <c r="J130" s="333"/>
    </row>
    <row r="131" spans="10:17" x14ac:dyDescent="0.25">
      <c r="J131" s="333"/>
    </row>
    <row r="132" spans="10:17" x14ac:dyDescent="0.25">
      <c r="J132" s="333"/>
    </row>
    <row r="133" spans="10:17" x14ac:dyDescent="0.25">
      <c r="J133" s="333"/>
    </row>
  </sheetData>
  <mergeCells count="4">
    <mergeCell ref="A1:E3"/>
    <mergeCell ref="G2:H2"/>
    <mergeCell ref="A4:E4"/>
    <mergeCell ref="K4:U4"/>
  </mergeCells>
  <conditionalFormatting sqref="B26:B28">
    <cfRule type="cellIs" dxfId="10" priority="8" stopIfTrue="1" operator="notEqual">
      <formula>G28</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41">
    <cfRule type="cellIs" dxfId="7" priority="4" stopIfTrue="1" operator="notEqual">
      <formula>G53</formula>
    </cfRule>
  </conditionalFormatting>
  <conditionalFormatting sqref="B50:B53">
    <cfRule type="cellIs" dxfId="6" priority="9" stopIfTrue="1" operator="notEqual">
      <formula>G70</formula>
    </cfRule>
  </conditionalFormatting>
  <conditionalFormatting sqref="B48:B49">
    <cfRule type="cellIs" dxfId="5" priority="12" stopIfTrue="1" operator="notEqual">
      <formula>G68</formula>
    </cfRule>
  </conditionalFormatting>
  <conditionalFormatting sqref="B43:B45">
    <cfRule type="cellIs" dxfId="4" priority="13" stopIfTrue="1" operator="notEqual">
      <formula>G54</formula>
    </cfRule>
  </conditionalFormatting>
  <conditionalFormatting sqref="B46">
    <cfRule type="cellIs" dxfId="3" priority="2" stopIfTrue="1" operator="notEqual">
      <formula>G66</formula>
    </cfRule>
  </conditionalFormatting>
  <conditionalFormatting sqref="B29">
    <cfRule type="cellIs" dxfId="2" priority="145" stopIfTrue="1" operator="notEqual">
      <formula>G30</formula>
    </cfRule>
  </conditionalFormatting>
  <conditionalFormatting sqref="B38:B39">
    <cfRule type="cellIs" dxfId="1"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Alva Hernandez, Manuel</cp:lastModifiedBy>
  <cp:lastPrinted>2016-03-02T21:18:53Z</cp:lastPrinted>
  <dcterms:created xsi:type="dcterms:W3CDTF">1996-10-14T23:33:28Z</dcterms:created>
  <dcterms:modified xsi:type="dcterms:W3CDTF">2025-03-07T23:26:17Z</dcterms:modified>
</cp:coreProperties>
</file>