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0491816\Documents\HPD\Collateral\Half bridge calc\"/>
    </mc:Choice>
  </mc:AlternateContent>
  <xr:revisionPtr revIDLastSave="0" documentId="13_ncr:1_{495CCA11-C23C-4F15-BA8C-F57E49AB2DDF}" xr6:coauthVersionLast="36" xr6:coauthVersionMax="36" xr10:uidLastSave="{00000000-0000-0000-0000-000000000000}"/>
  <bookViews>
    <workbookView xWindow="0" yWindow="0" windowWidth="19200" windowHeight="6930" activeTab="4" xr2:uid="{7A73F688-B16A-4729-B491-552603FC6C19}"/>
  </bookViews>
  <sheets>
    <sheet name="Start Page" sheetId="5" r:id="rId1"/>
    <sheet name="Bootstrap" sheetId="1" r:id="rId2"/>
    <sheet name="Gate Resistance" sheetId="2" state="hidden" r:id="rId3"/>
    <sheet name="Power Dissipation" sheetId="3" r:id="rId4"/>
    <sheet name="Switching Times" sheetId="7" r:id="rId5"/>
    <sheet name="extra" sheetId="6" state="hidden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7" l="1"/>
  <c r="D9" i="7"/>
  <c r="I5" i="1" l="1"/>
  <c r="D26" i="3"/>
  <c r="D24" i="3"/>
  <c r="D11" i="1" l="1"/>
  <c r="D14" i="1" s="1"/>
  <c r="D10" i="1"/>
  <c r="D22" i="3"/>
  <c r="D21" i="3"/>
  <c r="D23" i="3" l="1"/>
  <c r="M21" i="6" l="1"/>
  <c r="M22" i="6"/>
  <c r="M23" i="6"/>
  <c r="M15" i="6"/>
  <c r="M16" i="6"/>
  <c r="M17" i="6"/>
  <c r="M18" i="6"/>
  <c r="M19" i="6"/>
  <c r="M20" i="6"/>
  <c r="M4" i="6"/>
  <c r="M5" i="6"/>
  <c r="M6" i="6"/>
  <c r="M7" i="6"/>
  <c r="M8" i="6"/>
  <c r="M9" i="6"/>
  <c r="M10" i="6"/>
  <c r="M11" i="6"/>
  <c r="M12" i="6"/>
  <c r="M13" i="6"/>
  <c r="M14" i="6"/>
  <c r="M3" i="6"/>
  <c r="L19" i="6"/>
  <c r="L20" i="6"/>
  <c r="L21" i="6"/>
  <c r="L22" i="6"/>
  <c r="L2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3" i="6"/>
  <c r="D20" i="3" l="1"/>
  <c r="K4" i="6" l="1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D12" i="1"/>
  <c r="E10" i="6" s="1"/>
  <c r="E17" i="6" l="1"/>
  <c r="E9" i="6"/>
  <c r="E3" i="6"/>
  <c r="E16" i="6"/>
  <c r="E8" i="6"/>
  <c r="E23" i="6"/>
  <c r="E15" i="6"/>
  <c r="E7" i="6"/>
  <c r="E22" i="6"/>
  <c r="E14" i="6"/>
  <c r="E6" i="6"/>
  <c r="E21" i="6"/>
  <c r="E13" i="6"/>
  <c r="E5" i="6"/>
  <c r="E20" i="6"/>
  <c r="E12" i="6"/>
  <c r="E4" i="6"/>
  <c r="E19" i="6"/>
  <c r="E11" i="6"/>
  <c r="E18" i="6"/>
  <c r="D5" i="6" l="1"/>
  <c r="D13" i="6"/>
  <c r="D21" i="6"/>
  <c r="D6" i="6"/>
  <c r="D14" i="6"/>
  <c r="D22" i="6"/>
  <c r="D7" i="6"/>
  <c r="D15" i="6"/>
  <c r="D23" i="6"/>
  <c r="D8" i="6"/>
  <c r="D16" i="6"/>
  <c r="D3" i="6"/>
  <c r="D9" i="6"/>
  <c r="D17" i="6"/>
  <c r="D10" i="6"/>
  <c r="D18" i="6"/>
  <c r="D11" i="6"/>
  <c r="D19" i="6"/>
  <c r="D4" i="6"/>
  <c r="D12" i="6"/>
  <c r="D20" i="6"/>
  <c r="C11" i="2"/>
  <c r="C10" i="2"/>
  <c r="C8" i="2"/>
  <c r="C9" i="2"/>
</calcChain>
</file>

<file path=xl/sharedStrings.xml><?xml version="1.0" encoding="utf-8"?>
<sst xmlns="http://schemas.openxmlformats.org/spreadsheetml/2006/main" count="228" uniqueCount="134">
  <si>
    <t>Vdd</t>
  </si>
  <si>
    <t>HB Falling Threshold</t>
  </si>
  <si>
    <t>Bootstrap Diode Forward Voltage Drop</t>
  </si>
  <si>
    <t>FET Gate Charge</t>
  </si>
  <si>
    <t>HB to VSS Leakage Current</t>
  </si>
  <si>
    <t>Max duty cycle</t>
  </si>
  <si>
    <t>switching frequency</t>
  </si>
  <si>
    <t>HB quiescent current</t>
  </si>
  <si>
    <t>Bootstrap diode forward drop</t>
  </si>
  <si>
    <t>High side FET internal gate resistance</t>
  </si>
  <si>
    <t>Low side FET internal gate resistance</t>
  </si>
  <si>
    <t>High side driver internal pull-up resistance</t>
  </si>
  <si>
    <t>High side driver internal pull-down resistance</t>
  </si>
  <si>
    <t>Low side driver internal pull-up resistance</t>
  </si>
  <si>
    <t>Low side driver internal pull-down resistance</t>
  </si>
  <si>
    <t>High side max source current</t>
  </si>
  <si>
    <t>High side max sink current</t>
  </si>
  <si>
    <t>Low side max source current</t>
  </si>
  <si>
    <t>Low side max sink current</t>
  </si>
  <si>
    <t>V</t>
  </si>
  <si>
    <t>nC</t>
  </si>
  <si>
    <t>%</t>
  </si>
  <si>
    <t>kHz</t>
  </si>
  <si>
    <t>mA</t>
  </si>
  <si>
    <r>
      <rPr>
        <sz val="11"/>
        <color theme="1"/>
        <rFont val="Calibri"/>
        <family val="2"/>
      </rPr>
      <t>μ</t>
    </r>
    <r>
      <rPr>
        <sz val="11"/>
        <color theme="1"/>
        <rFont val="Calibri"/>
        <family val="2"/>
        <scheme val="minor"/>
      </rPr>
      <t>A</t>
    </r>
  </si>
  <si>
    <t>nF</t>
  </si>
  <si>
    <t>A</t>
  </si>
  <si>
    <t>Ω</t>
  </si>
  <si>
    <t>mΩ</t>
  </si>
  <si>
    <t>Minimum high side on gate resistance</t>
  </si>
  <si>
    <t>Minimum high side off gate resistance</t>
  </si>
  <si>
    <t>Minimum low side on gate resistance</t>
  </si>
  <si>
    <t>Minimum low side off gate resistance</t>
  </si>
  <si>
    <t>Gate Charge</t>
  </si>
  <si>
    <t>Switching Frequency</t>
  </si>
  <si>
    <t>FET internal gate resistance</t>
  </si>
  <si>
    <t>mW</t>
  </si>
  <si>
    <t xml:space="preserve">Texas Instruments </t>
  </si>
  <si>
    <t>Driver pull up resistance</t>
  </si>
  <si>
    <t>Driver pull down resistance</t>
  </si>
  <si>
    <t>Half Bridge Gate Driver Component Calculator</t>
  </si>
  <si>
    <t>Rvalues</t>
  </si>
  <si>
    <t>Cvalues</t>
  </si>
  <si>
    <t>Rmin</t>
  </si>
  <si>
    <t>Cmin</t>
  </si>
  <si>
    <t>C (dV/dt)</t>
  </si>
  <si>
    <t>Rgate</t>
  </si>
  <si>
    <t>Pgate (off)</t>
  </si>
  <si>
    <t>Pgate (on)</t>
  </si>
  <si>
    <t>Bootstrap Diode peak current</t>
  </si>
  <si>
    <t>Gate resistance (on)</t>
  </si>
  <si>
    <t>Gate resistance (off)</t>
  </si>
  <si>
    <t>turn on time</t>
  </si>
  <si>
    <t>turn off time</t>
  </si>
  <si>
    <t>ns</t>
  </si>
  <si>
    <t>t(on)</t>
  </si>
  <si>
    <t>t(off)</t>
  </si>
  <si>
    <t>Switching Power Loss</t>
  </si>
  <si>
    <t>Quiescent Current Power Loss</t>
  </si>
  <si>
    <t>Vdd quiescent current</t>
  </si>
  <si>
    <t>Diode voltage drop</t>
  </si>
  <si>
    <t>Low Side Leakage Power Loss</t>
  </si>
  <si>
    <t>HB to VSS quiescent current</t>
  </si>
  <si>
    <t>HB max voltage</t>
  </si>
  <si>
    <t>duty cycle</t>
  </si>
  <si>
    <t>μA</t>
  </si>
  <si>
    <t>Total Device Power Loss</t>
  </si>
  <si>
    <t>Is diode integrated in driver</t>
  </si>
  <si>
    <t>yes</t>
  </si>
  <si>
    <t>no</t>
  </si>
  <si>
    <t>Spec</t>
  </si>
  <si>
    <t>Value</t>
  </si>
  <si>
    <t>Unit</t>
  </si>
  <si>
    <t>Diode reverse recovery current</t>
  </si>
  <si>
    <t>Diode reverse recovery time</t>
  </si>
  <si>
    <t>Diode reverse voltage</t>
  </si>
  <si>
    <r>
      <t>C</t>
    </r>
    <r>
      <rPr>
        <vertAlign val="subscript"/>
        <sz val="11"/>
        <color theme="1"/>
        <rFont val="Calibri"/>
        <family val="2"/>
        <scheme val="minor"/>
      </rPr>
      <t>BOOT(min)</t>
    </r>
  </si>
  <si>
    <r>
      <t>I</t>
    </r>
    <r>
      <rPr>
        <vertAlign val="subscript"/>
        <sz val="11"/>
        <color theme="1"/>
        <rFont val="Calibri"/>
        <family val="2"/>
        <scheme val="minor"/>
      </rPr>
      <t>pk</t>
    </r>
  </si>
  <si>
    <r>
      <t>I</t>
    </r>
    <r>
      <rPr>
        <vertAlign val="subscript"/>
        <sz val="11"/>
        <color theme="1"/>
        <rFont val="Calibri"/>
        <family val="2"/>
        <scheme val="minor"/>
      </rPr>
      <t>HB</t>
    </r>
  </si>
  <si>
    <r>
      <t>f</t>
    </r>
    <r>
      <rPr>
        <vertAlign val="subscript"/>
        <sz val="11"/>
        <color theme="1"/>
        <rFont val="Calibri"/>
        <family val="2"/>
        <scheme val="minor"/>
      </rPr>
      <t>SW</t>
    </r>
  </si>
  <si>
    <r>
      <t>D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</si>
  <si>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</t>
    </r>
    <r>
      <rPr>
        <vertAlign val="subscript"/>
        <sz val="11"/>
        <color theme="1"/>
        <rFont val="Calibri"/>
        <family val="2"/>
        <scheme val="minor"/>
      </rPr>
      <t>HBS</t>
    </r>
  </si>
  <si>
    <r>
      <t>Q</t>
    </r>
    <r>
      <rPr>
        <vertAlign val="subscript"/>
        <sz val="11"/>
        <color theme="1"/>
        <rFont val="Calibri"/>
        <family val="2"/>
        <scheme val="minor"/>
      </rPr>
      <t>G</t>
    </r>
  </si>
  <si>
    <r>
      <t>V</t>
    </r>
    <r>
      <rPr>
        <vertAlign val="subscript"/>
        <sz val="11"/>
        <color theme="1"/>
        <rFont val="Calibri"/>
        <family val="2"/>
        <scheme val="minor"/>
      </rPr>
      <t>HBL</t>
    </r>
  </si>
  <si>
    <r>
      <t>V</t>
    </r>
    <r>
      <rPr>
        <vertAlign val="subscript"/>
        <sz val="11"/>
        <color theme="1"/>
        <rFont val="Calibri"/>
        <family val="2"/>
        <scheme val="minor"/>
      </rPr>
      <t>DH</t>
    </r>
  </si>
  <si>
    <r>
      <t>V</t>
    </r>
    <r>
      <rPr>
        <vertAlign val="subscript"/>
        <sz val="11"/>
        <color theme="1"/>
        <rFont val="Calibri"/>
        <family val="2"/>
        <scheme val="minor"/>
      </rPr>
      <t>DD</t>
    </r>
  </si>
  <si>
    <t>Bootstrap charge</t>
  </si>
  <si>
    <r>
      <t>Q</t>
    </r>
    <r>
      <rPr>
        <vertAlign val="subscript"/>
        <sz val="11"/>
        <color theme="1"/>
        <rFont val="Calibri"/>
        <family val="2"/>
        <scheme val="minor"/>
      </rPr>
      <t>TOTAL</t>
    </r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</si>
  <si>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V</t>
    </r>
    <r>
      <rPr>
        <vertAlign val="subscript"/>
        <sz val="11"/>
        <color theme="1"/>
        <rFont val="Calibri"/>
        <family val="2"/>
        <scheme val="minor"/>
      </rPr>
      <t>HB</t>
    </r>
  </si>
  <si>
    <t>Bootstrap Voltage Change</t>
  </si>
  <si>
    <t>Bootstrap Capacitance</t>
  </si>
  <si>
    <t>Switch time</t>
  </si>
  <si>
    <r>
      <t>R</t>
    </r>
    <r>
      <rPr>
        <vertAlign val="subscript"/>
        <sz val="11"/>
        <color theme="1"/>
        <rFont val="Calibri"/>
        <family val="2"/>
        <scheme val="minor"/>
      </rPr>
      <t>FET(int)</t>
    </r>
  </si>
  <si>
    <r>
      <t>R</t>
    </r>
    <r>
      <rPr>
        <vertAlign val="subscript"/>
        <sz val="11"/>
        <color theme="1"/>
        <rFont val="Calibri"/>
        <family val="2"/>
        <scheme val="minor"/>
      </rPr>
      <t>Driver(int)(on)</t>
    </r>
  </si>
  <si>
    <r>
      <t>R</t>
    </r>
    <r>
      <rPr>
        <vertAlign val="subscript"/>
        <sz val="11"/>
        <color theme="1"/>
        <rFont val="Calibri"/>
        <family val="2"/>
        <scheme val="minor"/>
      </rPr>
      <t>GATE(on)</t>
    </r>
  </si>
  <si>
    <r>
      <t>R</t>
    </r>
    <r>
      <rPr>
        <vertAlign val="subscript"/>
        <sz val="11"/>
        <color theme="1"/>
        <rFont val="Calibri"/>
        <family val="2"/>
        <scheme val="minor"/>
      </rPr>
      <t>Driver(int)(off)</t>
    </r>
  </si>
  <si>
    <r>
      <t>R</t>
    </r>
    <r>
      <rPr>
        <vertAlign val="subscript"/>
        <sz val="11"/>
        <color theme="1"/>
        <rFont val="Calibri"/>
        <family val="2"/>
        <scheme val="minor"/>
      </rPr>
      <t>GATE(off)</t>
    </r>
  </si>
  <si>
    <r>
      <t>t</t>
    </r>
    <r>
      <rPr>
        <vertAlign val="subscript"/>
        <sz val="11"/>
        <color theme="1"/>
        <rFont val="Calibri"/>
        <family val="2"/>
        <scheme val="minor"/>
      </rPr>
      <t>ON</t>
    </r>
  </si>
  <si>
    <r>
      <t>t</t>
    </r>
    <r>
      <rPr>
        <vertAlign val="subscript"/>
        <sz val="11"/>
        <color theme="1"/>
        <rFont val="Calibri"/>
        <family val="2"/>
        <scheme val="minor"/>
      </rPr>
      <t>OFF</t>
    </r>
  </si>
  <si>
    <t>Input System Value</t>
  </si>
  <si>
    <t>Input Datasheet Value</t>
  </si>
  <si>
    <t>Output</t>
  </si>
  <si>
    <r>
      <t>P</t>
    </r>
    <r>
      <rPr>
        <vertAlign val="subscript"/>
        <sz val="11"/>
        <color theme="1"/>
        <rFont val="Calibri"/>
        <family val="2"/>
        <scheme val="minor"/>
      </rPr>
      <t>QG</t>
    </r>
  </si>
  <si>
    <r>
      <t>P</t>
    </r>
    <r>
      <rPr>
        <vertAlign val="subscript"/>
        <sz val="11"/>
        <color theme="1"/>
        <rFont val="Calibri"/>
        <family val="2"/>
        <scheme val="minor"/>
      </rPr>
      <t>QC</t>
    </r>
  </si>
  <si>
    <r>
      <t>P</t>
    </r>
    <r>
      <rPr>
        <vertAlign val="subscript"/>
        <sz val="11"/>
        <color theme="1"/>
        <rFont val="Calibri"/>
        <family val="2"/>
        <scheme val="minor"/>
      </rPr>
      <t>DF</t>
    </r>
  </si>
  <si>
    <r>
      <t>P</t>
    </r>
    <r>
      <rPr>
        <vertAlign val="subscript"/>
        <sz val="11"/>
        <color theme="1"/>
        <rFont val="Calibri"/>
        <family val="2"/>
        <scheme val="minor"/>
      </rPr>
      <t>IHBS</t>
    </r>
  </si>
  <si>
    <r>
      <t>I</t>
    </r>
    <r>
      <rPr>
        <vertAlign val="subscript"/>
        <sz val="11"/>
        <color theme="1"/>
        <rFont val="Calibri"/>
        <family val="2"/>
        <scheme val="minor"/>
      </rPr>
      <t>DD</t>
    </r>
  </si>
  <si>
    <r>
      <t>I</t>
    </r>
    <r>
      <rPr>
        <vertAlign val="subscript"/>
        <sz val="11"/>
        <color theme="1"/>
        <rFont val="Calibri"/>
        <family val="2"/>
        <scheme val="minor"/>
      </rPr>
      <t>RR</t>
    </r>
  </si>
  <si>
    <r>
      <t>t</t>
    </r>
    <r>
      <rPr>
        <vertAlign val="subscript"/>
        <sz val="11"/>
        <color theme="1"/>
        <rFont val="Calibri"/>
        <family val="2"/>
        <scheme val="minor"/>
      </rPr>
      <t>RR</t>
    </r>
  </si>
  <si>
    <r>
      <t>V</t>
    </r>
    <r>
      <rPr>
        <vertAlign val="subscript"/>
        <sz val="11"/>
        <color theme="1"/>
        <rFont val="Calibri"/>
        <family val="2"/>
        <scheme val="minor"/>
      </rPr>
      <t>RR</t>
    </r>
  </si>
  <si>
    <r>
      <t>V</t>
    </r>
    <r>
      <rPr>
        <vertAlign val="subscript"/>
        <sz val="11"/>
        <color theme="1"/>
        <rFont val="Calibri"/>
        <family val="2"/>
        <scheme val="minor"/>
      </rPr>
      <t>HB(max)</t>
    </r>
  </si>
  <si>
    <t>Leakage Current Power Loss</t>
  </si>
  <si>
    <t>Instructions: Use as supplement to driver datasheets to calculate system values.</t>
  </si>
  <si>
    <t>User Inputs</t>
  </si>
  <si>
    <t>Driver Datasheet Values</t>
  </si>
  <si>
    <t>Outputs</t>
  </si>
  <si>
    <t>Gate Charge (Total)</t>
  </si>
  <si>
    <t>Max bootstrap ripple</t>
  </si>
  <si>
    <t>Min Bootstrap Capacitance</t>
  </si>
  <si>
    <r>
      <t>R</t>
    </r>
    <r>
      <rPr>
        <vertAlign val="subscript"/>
        <sz val="11"/>
        <color theme="1"/>
        <rFont val="Calibri"/>
        <family val="2"/>
        <scheme val="minor"/>
      </rPr>
      <t>boot</t>
    </r>
  </si>
  <si>
    <t>Target bootstrap ripple</t>
  </si>
  <si>
    <r>
      <t>C</t>
    </r>
    <r>
      <rPr>
        <vertAlign val="subscript"/>
        <sz val="11"/>
        <color theme="1"/>
        <rFont val="Calibri"/>
        <family val="2"/>
        <scheme val="minor"/>
      </rPr>
      <t>BOOT</t>
    </r>
  </si>
  <si>
    <t>Recommended bootstrap capacitance</t>
  </si>
  <si>
    <t>Min Bootsrap resistance (if using external bootstrap diode)</t>
  </si>
  <si>
    <t>Diode Power Loss</t>
  </si>
  <si>
    <t>Estimated Driver Temperature Increase</t>
  </si>
  <si>
    <t>T</t>
  </si>
  <si>
    <t>Thermal Resistance</t>
  </si>
  <si>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C/W</t>
    </r>
  </si>
  <si>
    <t>°C</t>
  </si>
  <si>
    <r>
      <t>R</t>
    </r>
    <r>
      <rPr>
        <vertAlign val="subscript"/>
        <sz val="11"/>
        <color theme="1"/>
        <rFont val="Calibri"/>
        <family val="2"/>
      </rPr>
      <t>θ</t>
    </r>
  </si>
  <si>
    <t>Bootstrap resistance</t>
  </si>
  <si>
    <r>
      <t>V</t>
    </r>
    <r>
      <rPr>
        <vertAlign val="subscript"/>
        <sz val="11"/>
        <color theme="1"/>
        <rFont val="Calibri"/>
        <family val="2"/>
        <scheme val="minor"/>
      </rPr>
      <t>QG</t>
    </r>
  </si>
  <si>
    <t>Gate Charge Measurement Voltage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</si>
</sst>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0" fillId="0" borderId="0" xfId="0" applyFill="1"/>
    <xf numFmtId="0" fontId="1" fillId="0" borderId="0" xfId="0" applyFont="1" applyFill="1"/>
    <xf numFmtId="0" fontId="2" fillId="4" borderId="0" xfId="0" applyFont="1" applyFill="1"/>
    <xf numFmtId="0" fontId="0" fillId="4" borderId="0" xfId="0" applyFill="1"/>
    <xf numFmtId="0" fontId="0" fillId="0" borderId="0" xfId="0" applyBorder="1" applyAlignment="1">
      <alignment wrapText="1"/>
    </xf>
    <xf numFmtId="0" fontId="0" fillId="0" borderId="1" xfId="0" applyBorder="1"/>
    <xf numFmtId="0" fontId="0" fillId="2" borderId="2" xfId="0" applyFill="1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2" borderId="0" xfId="0" applyFill="1" applyBorder="1"/>
    <xf numFmtId="0" fontId="0" fillId="0" borderId="5" xfId="0" applyBorder="1"/>
    <xf numFmtId="0" fontId="0" fillId="0" borderId="4" xfId="0" applyBorder="1"/>
    <xf numFmtId="0" fontId="0" fillId="0" borderId="6" xfId="0" applyFill="1" applyBorder="1" applyAlignment="1">
      <alignment wrapText="1"/>
    </xf>
    <xf numFmtId="0" fontId="0" fillId="3" borderId="7" xfId="0" applyFill="1" applyBorder="1"/>
    <xf numFmtId="0" fontId="1" fillId="0" borderId="8" xfId="0" applyFont="1" applyFill="1" applyBorder="1"/>
    <xf numFmtId="0" fontId="0" fillId="3" borderId="2" xfId="0" applyFill="1" applyBorder="1"/>
    <xf numFmtId="0" fontId="1" fillId="0" borderId="5" xfId="0" applyFont="1" applyFill="1" applyBorder="1"/>
    <xf numFmtId="0" fontId="0" fillId="0" borderId="0" xfId="0" applyBorder="1"/>
    <xf numFmtId="0" fontId="0" fillId="0" borderId="9" xfId="0" applyBorder="1"/>
    <xf numFmtId="0" fontId="3" fillId="3" borderId="7" xfId="0" applyFont="1" applyFill="1" applyBorder="1"/>
    <xf numFmtId="0" fontId="1" fillId="0" borderId="0" xfId="0" applyFont="1" applyFill="1" applyBorder="1"/>
    <xf numFmtId="0" fontId="1" fillId="0" borderId="3" xfId="0" applyFont="1" applyFill="1" applyBorder="1"/>
    <xf numFmtId="0" fontId="0" fillId="0" borderId="6" xfId="0" applyBorder="1"/>
    <xf numFmtId="0" fontId="0" fillId="7" borderId="0" xfId="0" applyFill="1" applyBorder="1"/>
    <xf numFmtId="0" fontId="0" fillId="0" borderId="11" xfId="0" applyBorder="1"/>
    <xf numFmtId="0" fontId="0" fillId="0" borderId="0" xfId="0" applyFill="1" applyBorder="1"/>
    <xf numFmtId="0" fontId="3" fillId="2" borderId="0" xfId="0" applyFont="1" applyFill="1" applyBorder="1"/>
    <xf numFmtId="0" fontId="0" fillId="0" borderId="4" xfId="0" applyFill="1" applyBorder="1"/>
    <xf numFmtId="0" fontId="0" fillId="0" borderId="6" xfId="0" applyFill="1" applyBorder="1"/>
    <xf numFmtId="0" fontId="3" fillId="2" borderId="7" xfId="0" applyFont="1" applyFill="1" applyBorder="1"/>
    <xf numFmtId="0" fontId="3" fillId="0" borderId="4" xfId="0" applyFont="1" applyBorder="1"/>
    <xf numFmtId="0" fontId="0" fillId="0" borderId="2" xfId="0" applyBorder="1"/>
    <xf numFmtId="0" fontId="0" fillId="0" borderId="7" xfId="0" applyFill="1" applyBorder="1" applyAlignment="1">
      <alignment wrapText="1"/>
    </xf>
    <xf numFmtId="0" fontId="0" fillId="3" borderId="0" xfId="0" applyFill="1" applyBorder="1"/>
    <xf numFmtId="0" fontId="0" fillId="7" borderId="7" xfId="0" applyFill="1" applyBorder="1"/>
    <xf numFmtId="0" fontId="0" fillId="0" borderId="8" xfId="0" applyBorder="1"/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3" fillId="7" borderId="0" xfId="0" applyFont="1" applyFill="1" applyBorder="1"/>
    <xf numFmtId="0" fontId="0" fillId="0" borderId="8" xfId="0" applyFill="1" applyBorder="1"/>
    <xf numFmtId="0" fontId="3" fillId="3" borderId="0" xfId="0" applyFont="1" applyFill="1" applyBorder="1"/>
    <xf numFmtId="0" fontId="3" fillId="3" borderId="2" xfId="0" applyFont="1" applyFill="1" applyBorder="1"/>
    <xf numFmtId="0" fontId="0" fillId="0" borderId="10" xfId="0" applyBorder="1"/>
    <xf numFmtId="0" fontId="0" fillId="0" borderId="7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7" borderId="0" xfId="0" applyFill="1"/>
    <xf numFmtId="0" fontId="0" fillId="0" borderId="7" xfId="0" applyFill="1" applyBorder="1"/>
    <xf numFmtId="0" fontId="0" fillId="0" borderId="0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3" borderId="10" xfId="0" applyFill="1" applyBorder="1"/>
    <xf numFmtId="0" fontId="0" fillId="2" borderId="10" xfId="0" applyFill="1" applyBorder="1"/>
    <xf numFmtId="0" fontId="0" fillId="0" borderId="10" xfId="0" applyFill="1" applyBorder="1" applyAlignment="1">
      <alignment wrapText="1"/>
    </xf>
    <xf numFmtId="0" fontId="0" fillId="5" borderId="0" xfId="0" applyFill="1" applyAlignment="1">
      <alignment horizontal="left" wrapText="1"/>
    </xf>
    <xf numFmtId="0" fontId="0" fillId="6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76200</xdr:rowOff>
    </xdr:from>
    <xdr:to>
      <xdr:col>0</xdr:col>
      <xdr:colOff>1949450</xdr:colOff>
      <xdr:row>17</xdr:row>
      <xdr:rowOff>177800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6389AF3-087C-49EF-9690-551E41137057}"/>
            </a:ext>
          </a:extLst>
        </xdr:cNvPr>
        <xdr:cNvSpPr txBox="1"/>
      </xdr:nvSpPr>
      <xdr:spPr>
        <a:xfrm>
          <a:off x="0" y="1073150"/>
          <a:ext cx="1949450" cy="3517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Recommendations</a:t>
          </a:r>
        </a:p>
        <a:p>
          <a:r>
            <a:rPr lang="en-US" sz="1100" b="0" u="none" baseline="0"/>
            <a:t>In order to stay withing the target bootstrap ripple, select a low variance capcitor, such as X7R, sized in order to meet the recommended size after derating</a:t>
          </a:r>
        </a:p>
        <a:p>
          <a:endParaRPr lang="en-US" sz="1100" b="0" u="none" baseline="0"/>
        </a:p>
        <a:p>
          <a:r>
            <a:rPr lang="en-US" sz="1100" b="0" u="none" baseline="0"/>
            <a:t>Bootstrap resistance is only necessary when using an external bootstrap diode. Select fast recovery diode rated higher than max bootstrap voltage</a:t>
          </a:r>
        </a:p>
        <a:p>
          <a:endParaRPr lang="en-US" sz="1100" b="0" u="none" baseline="0"/>
        </a:p>
        <a:p>
          <a:r>
            <a:rPr lang="en-US" sz="1100" b="0" u="none" baseline="0"/>
            <a:t>A VDD to VSS bypass capacitor at least 10x the size of the bootstrap capacitor should be placed as close as possible to the VDD pin</a:t>
          </a:r>
          <a:endParaRPr lang="en-US" sz="1100" b="1" u="sng"/>
        </a:p>
      </xdr:txBody>
    </xdr:sp>
    <xdr:clientData/>
  </xdr:twoCellAnchor>
  <xdr:twoCellAnchor editAs="oneCell">
    <xdr:from>
      <xdr:col>6</xdr:col>
      <xdr:colOff>69850</xdr:colOff>
      <xdr:row>13</xdr:row>
      <xdr:rowOff>6350</xdr:rowOff>
    </xdr:from>
    <xdr:to>
      <xdr:col>7</xdr:col>
      <xdr:colOff>238416</xdr:colOff>
      <xdr:row>15</xdr:row>
      <xdr:rowOff>73114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42D8728-83E4-4B26-8B17-806DA1265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84850" y="3606800"/>
          <a:ext cx="2086266" cy="638264"/>
        </a:xfrm>
        <a:prstGeom prst="rect">
          <a:avLst/>
        </a:prstGeom>
      </xdr:spPr>
    </xdr:pic>
    <xdr:clientData/>
  </xdr:twoCellAnchor>
  <xdr:twoCellAnchor editAs="oneCell">
    <xdr:from>
      <xdr:col>6</xdr:col>
      <xdr:colOff>82550</xdr:colOff>
      <xdr:row>10</xdr:row>
      <xdr:rowOff>12700</xdr:rowOff>
    </xdr:from>
    <xdr:to>
      <xdr:col>11</xdr:col>
      <xdr:colOff>64021</xdr:colOff>
      <xdr:row>11</xdr:row>
      <xdr:rowOff>358853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8E696CC-5A69-47BA-8AE6-755FBFD4B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97550" y="2622550"/>
          <a:ext cx="3734321" cy="5620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8</xdr:col>
      <xdr:colOff>260698</xdr:colOff>
      <xdr:row>8</xdr:row>
      <xdr:rowOff>114345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C22FB6B-815F-407D-96C7-9B5AE63FC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0" y="1974850"/>
          <a:ext cx="2495898" cy="323895"/>
        </a:xfrm>
        <a:prstGeom prst="rect">
          <a:avLst/>
        </a:prstGeom>
      </xdr:spPr>
    </xdr:pic>
    <xdr:clientData/>
  </xdr:twoCellAnchor>
  <xdr:twoCellAnchor editAs="oneCell">
    <xdr:from>
      <xdr:col>10</xdr:col>
      <xdr:colOff>590550</xdr:colOff>
      <xdr:row>2</xdr:row>
      <xdr:rowOff>25400</xdr:rowOff>
    </xdr:from>
    <xdr:to>
      <xdr:col>12</xdr:col>
      <xdr:colOff>362224</xdr:colOff>
      <xdr:row>4</xdr:row>
      <xdr:rowOff>228712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2B60EA-62A1-4297-A1B1-F993BA64F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48800" y="425450"/>
          <a:ext cx="1962424" cy="8002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4</xdr:row>
      <xdr:rowOff>63500</xdr:rowOff>
    </xdr:from>
    <xdr:to>
      <xdr:col>0</xdr:col>
      <xdr:colOff>2019300</xdr:colOff>
      <xdr:row>15</xdr:row>
      <xdr:rowOff>165100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1C85694-F75D-4430-93B8-4D5A61579A60}"/>
            </a:ext>
          </a:extLst>
        </xdr:cNvPr>
        <xdr:cNvSpPr txBox="1"/>
      </xdr:nvSpPr>
      <xdr:spPr>
        <a:xfrm>
          <a:off x="63500" y="882650"/>
          <a:ext cx="1955800" cy="2381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Recommendations</a:t>
          </a:r>
        </a:p>
        <a:p>
          <a:r>
            <a:rPr lang="en-US" sz="1100" b="0" u="none" baseline="0"/>
            <a:t>Driver power dissipation is estimeated as </a:t>
          </a:r>
        </a:p>
        <a:p>
          <a:endParaRPr lang="en-US" sz="1100" b="0" u="none" baseline="0"/>
        </a:p>
        <a:p>
          <a:r>
            <a:rPr lang="en-US" sz="1100" b="0" u="none" baseline="0"/>
            <a:t>Temperature increase estimate is based on the datasheet thermal resistance. This is to give a simple estimate as actual thermal resistances will depend on the board layout.</a:t>
          </a:r>
          <a:endParaRPr lang="en-US" sz="1100" b="1" u="none"/>
        </a:p>
      </xdr:txBody>
    </xdr:sp>
    <xdr:clientData/>
  </xdr:twoCellAnchor>
  <xdr:twoCellAnchor editAs="oneCell">
    <xdr:from>
      <xdr:col>6</xdr:col>
      <xdr:colOff>127000</xdr:colOff>
      <xdr:row>8</xdr:row>
      <xdr:rowOff>82550</xdr:rowOff>
    </xdr:from>
    <xdr:to>
      <xdr:col>10</xdr:col>
      <xdr:colOff>1226122</xdr:colOff>
      <xdr:row>9</xdr:row>
      <xdr:rowOff>158790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5B9FDA-AFE8-4F3A-B327-AFD085AB3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0" y="1739900"/>
          <a:ext cx="4096322" cy="285790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11</xdr:row>
      <xdr:rowOff>57150</xdr:rowOff>
    </xdr:from>
    <xdr:to>
      <xdr:col>7</xdr:col>
      <xdr:colOff>317500</xdr:colOff>
      <xdr:row>12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F9188D-3336-4846-9973-43FB14F7DB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58255" b="14"/>
        <a:stretch/>
      </xdr:blipFill>
      <xdr:spPr>
        <a:xfrm>
          <a:off x="5702300" y="2343150"/>
          <a:ext cx="2362200" cy="2857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3</xdr:row>
      <xdr:rowOff>101600</xdr:rowOff>
    </xdr:from>
    <xdr:to>
      <xdr:col>12</xdr:col>
      <xdr:colOff>48336</xdr:colOff>
      <xdr:row>6</xdr:row>
      <xdr:rowOff>44530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83A279A-B805-4D0D-B9D9-003C301F6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83250" y="711200"/>
          <a:ext cx="5096586" cy="571580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14</xdr:row>
      <xdr:rowOff>12700</xdr:rowOff>
    </xdr:from>
    <xdr:to>
      <xdr:col>10</xdr:col>
      <xdr:colOff>213154</xdr:colOff>
      <xdr:row>15</xdr:row>
      <xdr:rowOff>174677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ADE734-792E-4C0E-A519-D1D22B228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21350" y="2901950"/>
          <a:ext cx="3077004" cy="3715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</xdr:row>
      <xdr:rowOff>120650</xdr:rowOff>
    </xdr:from>
    <xdr:to>
      <xdr:col>0</xdr:col>
      <xdr:colOff>1828800</xdr:colOff>
      <xdr:row>9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E54519B-6D9E-4275-99DF-99C62EAD0669}"/>
            </a:ext>
          </a:extLst>
        </xdr:cNvPr>
        <xdr:cNvSpPr txBox="1"/>
      </xdr:nvSpPr>
      <xdr:spPr>
        <a:xfrm>
          <a:off x="152400" y="939800"/>
          <a:ext cx="1676400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Recommendations</a:t>
          </a:r>
          <a:endParaRPr lang="en-US" sz="1100" b="0" u="none"/>
        </a:p>
        <a:p>
          <a:r>
            <a:rPr lang="en-US" sz="1100" b="0" u="none" baseline="0"/>
            <a:t>The switching time calculated on this page is an only estimate intended to aid in system design. </a:t>
          </a:r>
          <a:endParaRPr lang="en-US" sz="1100" b="1" u="sng"/>
        </a:p>
      </xdr:txBody>
    </xdr:sp>
    <xdr:clientData/>
  </xdr:twoCellAnchor>
  <xdr:twoCellAnchor editAs="oneCell">
    <xdr:from>
      <xdr:col>6</xdr:col>
      <xdr:colOff>57150</xdr:colOff>
      <xdr:row>4</xdr:row>
      <xdr:rowOff>51518</xdr:rowOff>
    </xdr:from>
    <xdr:to>
      <xdr:col>11</xdr:col>
      <xdr:colOff>346710</xdr:colOff>
      <xdr:row>7</xdr:row>
      <xdr:rowOff>165219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A24617-3228-44E7-846B-5E2926081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3400" y="870668"/>
          <a:ext cx="3934460" cy="742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ABE59-1218-4226-B6EC-8E2D37680073}">
  <dimension ref="B2:F4"/>
  <sheetViews>
    <sheetView workbookViewId="0">
      <selection activeCell="D16" sqref="D16"/>
    </sheetView>
  </sheetViews>
  <sheetFormatPr defaultRowHeight="14.5" x14ac:dyDescent="0.35"/>
  <cols>
    <col min="4" max="4" width="18.08984375" customWidth="1"/>
    <col min="8" max="8" width="8.6328125" customWidth="1"/>
  </cols>
  <sheetData>
    <row r="2" spans="2:6" x14ac:dyDescent="0.35">
      <c r="B2" s="6" t="s">
        <v>37</v>
      </c>
      <c r="C2" s="7"/>
      <c r="D2" s="7"/>
      <c r="E2" s="7"/>
      <c r="F2" s="7"/>
    </row>
    <row r="3" spans="2:6" x14ac:dyDescent="0.35">
      <c r="B3" s="57" t="s">
        <v>40</v>
      </c>
      <c r="C3" s="57"/>
      <c r="D3" s="57"/>
      <c r="E3" s="57"/>
      <c r="F3" s="57"/>
    </row>
    <row r="4" spans="2:6" ht="28.5" customHeight="1" x14ac:dyDescent="0.35">
      <c r="B4" s="58" t="s">
        <v>112</v>
      </c>
      <c r="C4" s="58"/>
      <c r="D4" s="58"/>
      <c r="E4" s="58"/>
      <c r="F4" s="58"/>
    </row>
  </sheetData>
  <mergeCells count="2">
    <mergeCell ref="B3:F3"/>
    <mergeCell ref="B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0107D-4516-418B-9288-F2FCA153388C}">
  <sheetPr codeName="Sheet2"/>
  <dimension ref="A1:L15"/>
  <sheetViews>
    <sheetView topLeftCell="A5" workbookViewId="0">
      <selection activeCell="D19" sqref="D19"/>
    </sheetView>
  </sheetViews>
  <sheetFormatPr defaultRowHeight="14.5" x14ac:dyDescent="0.35"/>
  <cols>
    <col min="1" max="1" width="28.81640625" customWidth="1"/>
    <col min="2" max="2" width="19.90625" customWidth="1"/>
    <col min="3" max="3" width="8.1796875" bestFit="1" customWidth="1"/>
    <col min="4" max="4" width="11.90625" customWidth="1"/>
    <col min="5" max="5" width="4.26953125" bestFit="1" customWidth="1"/>
    <col min="7" max="7" width="27.453125" customWidth="1"/>
    <col min="8" max="8" width="4.54296875" bestFit="1" customWidth="1"/>
    <col min="10" max="10" width="4.26953125" bestFit="1" customWidth="1"/>
    <col min="12" max="12" width="22.6328125" customWidth="1"/>
  </cols>
  <sheetData>
    <row r="1" spans="1:12" ht="15" thickBot="1" x14ac:dyDescent="0.4">
      <c r="B1" s="48" t="s">
        <v>70</v>
      </c>
      <c r="C1" s="49"/>
      <c r="D1" s="49" t="s">
        <v>71</v>
      </c>
      <c r="E1" s="28" t="s">
        <v>72</v>
      </c>
      <c r="G1" s="48" t="s">
        <v>70</v>
      </c>
      <c r="H1" s="49"/>
      <c r="I1" s="49" t="s">
        <v>71</v>
      </c>
      <c r="J1" s="28" t="s">
        <v>72</v>
      </c>
    </row>
    <row r="2" spans="1:12" ht="16.5" x14ac:dyDescent="0.45">
      <c r="A2" s="2" t="s">
        <v>113</v>
      </c>
      <c r="B2" s="9" t="s">
        <v>0</v>
      </c>
      <c r="C2" s="35" t="s">
        <v>85</v>
      </c>
      <c r="D2" s="10">
        <v>7</v>
      </c>
      <c r="E2" s="11" t="s">
        <v>19</v>
      </c>
      <c r="G2" s="9" t="s">
        <v>0</v>
      </c>
      <c r="H2" s="35" t="s">
        <v>85</v>
      </c>
      <c r="I2" s="10">
        <v>7</v>
      </c>
      <c r="J2" s="11" t="s">
        <v>19</v>
      </c>
      <c r="L2" t="s">
        <v>131</v>
      </c>
    </row>
    <row r="3" spans="1:12" ht="30" x14ac:dyDescent="0.45">
      <c r="A3" s="50" t="s">
        <v>114</v>
      </c>
      <c r="B3" s="12" t="s">
        <v>2</v>
      </c>
      <c r="C3" s="8" t="s">
        <v>84</v>
      </c>
      <c r="D3" s="13">
        <v>1</v>
      </c>
      <c r="E3" s="14" t="s">
        <v>19</v>
      </c>
      <c r="G3" s="12" t="s">
        <v>2</v>
      </c>
      <c r="H3" s="8" t="s">
        <v>84</v>
      </c>
      <c r="I3" s="13">
        <v>1</v>
      </c>
      <c r="J3" s="14" t="s">
        <v>19</v>
      </c>
    </row>
    <row r="4" spans="1:12" ht="17" thickBot="1" x14ac:dyDescent="0.5">
      <c r="A4" s="3" t="s">
        <v>115</v>
      </c>
      <c r="B4" s="15" t="s">
        <v>1</v>
      </c>
      <c r="C4" s="21" t="s">
        <v>83</v>
      </c>
      <c r="D4" s="27">
        <v>4</v>
      </c>
      <c r="E4" s="14" t="s">
        <v>19</v>
      </c>
      <c r="G4" s="16" t="s">
        <v>49</v>
      </c>
      <c r="H4" s="36" t="s">
        <v>77</v>
      </c>
      <c r="I4" s="38">
        <v>2</v>
      </c>
      <c r="J4" s="39" t="s">
        <v>26</v>
      </c>
    </row>
    <row r="5" spans="1:12" ht="30.5" thickBot="1" x14ac:dyDescent="0.5">
      <c r="B5" s="15" t="s">
        <v>3</v>
      </c>
      <c r="C5" s="21" t="s">
        <v>82</v>
      </c>
      <c r="D5" s="13">
        <v>52</v>
      </c>
      <c r="E5" s="14" t="s">
        <v>20</v>
      </c>
      <c r="G5" s="16" t="s">
        <v>123</v>
      </c>
      <c r="H5" s="36" t="s">
        <v>119</v>
      </c>
      <c r="I5" s="17">
        <f>(I2-I3)/I4</f>
        <v>3</v>
      </c>
      <c r="J5" s="18" t="s">
        <v>27</v>
      </c>
    </row>
    <row r="6" spans="1:12" ht="30" x14ac:dyDescent="0.45">
      <c r="B6" s="12" t="s">
        <v>4</v>
      </c>
      <c r="C6" s="8" t="s">
        <v>81</v>
      </c>
      <c r="D6" s="27">
        <v>2</v>
      </c>
      <c r="E6" s="14" t="s">
        <v>24</v>
      </c>
    </row>
    <row r="7" spans="1:12" ht="16.5" x14ac:dyDescent="0.45">
      <c r="B7" s="15" t="s">
        <v>5</v>
      </c>
      <c r="C7" s="29" t="s">
        <v>80</v>
      </c>
      <c r="D7" s="13">
        <v>80</v>
      </c>
      <c r="E7" s="14" t="s">
        <v>21</v>
      </c>
      <c r="G7" t="s">
        <v>89</v>
      </c>
    </row>
    <row r="8" spans="1:12" ht="16.5" x14ac:dyDescent="0.45">
      <c r="B8" s="15" t="s">
        <v>6</v>
      </c>
      <c r="C8" s="29" t="s">
        <v>79</v>
      </c>
      <c r="D8" s="13">
        <v>300</v>
      </c>
      <c r="E8" s="14" t="s">
        <v>22</v>
      </c>
    </row>
    <row r="9" spans="1:12" ht="17" thickBot="1" x14ac:dyDescent="0.5">
      <c r="B9" s="15" t="s">
        <v>7</v>
      </c>
      <c r="C9" s="29" t="s">
        <v>78</v>
      </c>
      <c r="D9" s="27">
        <v>0.4</v>
      </c>
      <c r="E9" s="14" t="s">
        <v>23</v>
      </c>
    </row>
    <row r="10" spans="1:12" ht="16.5" x14ac:dyDescent="0.45">
      <c r="B10" s="40" t="s">
        <v>117</v>
      </c>
      <c r="C10" s="41" t="s">
        <v>88</v>
      </c>
      <c r="D10" s="19">
        <f>D2-D3-D4</f>
        <v>2</v>
      </c>
      <c r="E10" s="11" t="s">
        <v>19</v>
      </c>
      <c r="G10" t="s">
        <v>86</v>
      </c>
    </row>
    <row r="11" spans="1:12" ht="17" thickBot="1" x14ac:dyDescent="0.5">
      <c r="B11" s="16" t="s">
        <v>86</v>
      </c>
      <c r="C11" s="36" t="s">
        <v>87</v>
      </c>
      <c r="D11" s="17">
        <f>ROUNDUP((D5*10^-9+D6*10^-6*D7*0.01/(D8*10^3)+D9*10^-3/(D8*10^3))*10^9,0)</f>
        <v>54</v>
      </c>
      <c r="E11" s="39" t="s">
        <v>20</v>
      </c>
    </row>
    <row r="12" spans="1:12" ht="30.5" thickBot="1" x14ac:dyDescent="0.5">
      <c r="B12" s="12" t="s">
        <v>118</v>
      </c>
      <c r="C12" s="52" t="s">
        <v>76</v>
      </c>
      <c r="D12" s="37">
        <f>ROUNDUP((D5*10^-9+D6*10^-6*D7*0.01/(D8*10^3)+D9*10^-3/(D8*10^3))*10^9,0)/(D2-D3-D4)</f>
        <v>27</v>
      </c>
      <c r="E12" s="14" t="s">
        <v>25</v>
      </c>
    </row>
    <row r="13" spans="1:12" ht="20.5" customHeight="1" thickBot="1" x14ac:dyDescent="0.5">
      <c r="B13" s="53" t="s">
        <v>120</v>
      </c>
      <c r="C13" s="56" t="s">
        <v>88</v>
      </c>
      <c r="D13" s="55">
        <v>0.5</v>
      </c>
      <c r="E13" s="28" t="s">
        <v>19</v>
      </c>
      <c r="G13" t="s">
        <v>90</v>
      </c>
    </row>
    <row r="14" spans="1:12" ht="30.5" thickBot="1" x14ac:dyDescent="0.5">
      <c r="B14" s="48" t="s">
        <v>122</v>
      </c>
      <c r="C14" s="46" t="s">
        <v>121</v>
      </c>
      <c r="D14" s="54">
        <f>D11/D13</f>
        <v>108</v>
      </c>
      <c r="E14" s="28" t="s">
        <v>25</v>
      </c>
    </row>
    <row r="15" spans="1:12" x14ac:dyDescent="0.35">
      <c r="D15" s="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2A323-1018-44AF-86D3-29B7AB177F2B}">
  <sheetPr codeName="Sheet3"/>
  <dimension ref="B2:J11"/>
  <sheetViews>
    <sheetView workbookViewId="0">
      <selection activeCell="H10" sqref="H10"/>
    </sheetView>
  </sheetViews>
  <sheetFormatPr defaultRowHeight="14.5" x14ac:dyDescent="0.35"/>
  <cols>
    <col min="2" max="2" width="19.453125" customWidth="1"/>
    <col min="4" max="4" width="3.81640625" style="4" bestFit="1" customWidth="1"/>
    <col min="5" max="5" width="14.36328125" customWidth="1"/>
    <col min="7" max="7" width="2" bestFit="1" customWidth="1"/>
    <col min="8" max="8" width="22.1796875" customWidth="1"/>
    <col min="10" max="10" width="3.81640625" bestFit="1" customWidth="1"/>
  </cols>
  <sheetData>
    <row r="2" spans="2:10" ht="29" x14ac:dyDescent="0.35">
      <c r="B2" t="s">
        <v>0</v>
      </c>
      <c r="C2" s="2">
        <v>7</v>
      </c>
      <c r="D2" s="4" t="s">
        <v>19</v>
      </c>
      <c r="E2" s="1" t="s">
        <v>15</v>
      </c>
      <c r="F2" s="2">
        <v>2.5</v>
      </c>
      <c r="G2" t="s">
        <v>26</v>
      </c>
      <c r="H2" s="1" t="s">
        <v>11</v>
      </c>
      <c r="I2" s="2">
        <v>250</v>
      </c>
      <c r="J2" s="5" t="s">
        <v>28</v>
      </c>
    </row>
    <row r="3" spans="2:10" ht="29" x14ac:dyDescent="0.35">
      <c r="B3" s="1" t="s">
        <v>8</v>
      </c>
      <c r="C3" s="2">
        <v>1</v>
      </c>
      <c r="D3" s="4" t="s">
        <v>19</v>
      </c>
      <c r="E3" s="1" t="s">
        <v>16</v>
      </c>
      <c r="F3" s="2">
        <v>3.5</v>
      </c>
      <c r="G3" t="s">
        <v>26</v>
      </c>
      <c r="H3" s="1" t="s">
        <v>12</v>
      </c>
      <c r="I3" s="2">
        <v>250</v>
      </c>
      <c r="J3" s="5" t="s">
        <v>28</v>
      </c>
    </row>
    <row r="4" spans="2:10" ht="29" x14ac:dyDescent="0.35">
      <c r="B4" s="1" t="s">
        <v>9</v>
      </c>
      <c r="C4" s="2">
        <v>1.4</v>
      </c>
      <c r="D4" s="5" t="s">
        <v>27</v>
      </c>
      <c r="E4" s="1" t="s">
        <v>17</v>
      </c>
      <c r="F4" s="2">
        <v>2.5</v>
      </c>
      <c r="G4" t="s">
        <v>26</v>
      </c>
      <c r="H4" s="1" t="s">
        <v>13</v>
      </c>
      <c r="I4" s="2">
        <v>250</v>
      </c>
      <c r="J4" s="5" t="s">
        <v>28</v>
      </c>
    </row>
    <row r="5" spans="2:10" ht="29" x14ac:dyDescent="0.35">
      <c r="B5" s="1" t="s">
        <v>10</v>
      </c>
      <c r="C5" s="2">
        <v>1.4</v>
      </c>
      <c r="D5" s="5" t="s">
        <v>27</v>
      </c>
      <c r="E5" s="1" t="s">
        <v>18</v>
      </c>
      <c r="F5" s="2">
        <v>3.5</v>
      </c>
      <c r="G5" t="s">
        <v>26</v>
      </c>
      <c r="H5" s="1" t="s">
        <v>14</v>
      </c>
      <c r="I5" s="2">
        <v>250</v>
      </c>
      <c r="J5" s="5" t="s">
        <v>28</v>
      </c>
    </row>
    <row r="8" spans="2:10" ht="29" x14ac:dyDescent="0.35">
      <c r="B8" s="1" t="s">
        <v>29</v>
      </c>
      <c r="C8" s="3">
        <f>ROUNDUP((C2-C3)/F2-I2*10^-3-C4,3)</f>
        <v>0.75</v>
      </c>
      <c r="D8" s="5" t="s">
        <v>27</v>
      </c>
    </row>
    <row r="9" spans="2:10" ht="29" x14ac:dyDescent="0.35">
      <c r="B9" s="1" t="s">
        <v>30</v>
      </c>
      <c r="C9" s="3">
        <f>ROUNDUP((C2-C3)/F3-I3*10^-3-C4,3)</f>
        <v>6.5000000000000002E-2</v>
      </c>
      <c r="D9" s="5" t="s">
        <v>27</v>
      </c>
    </row>
    <row r="10" spans="2:10" ht="29" x14ac:dyDescent="0.35">
      <c r="B10" s="1" t="s">
        <v>31</v>
      </c>
      <c r="C10" s="3">
        <f>ROUNDUP(C2/F4-I4*10^-3-C5,3)</f>
        <v>1.1499999999999999</v>
      </c>
      <c r="D10" s="5" t="s">
        <v>27</v>
      </c>
    </row>
    <row r="11" spans="2:10" ht="29" x14ac:dyDescent="0.35">
      <c r="B11" s="1" t="s">
        <v>32</v>
      </c>
      <c r="C11" s="3">
        <f>ROUNDUP(C2/F5-I5*10^-3-C5,3)</f>
        <v>0.35</v>
      </c>
      <c r="D11" s="5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73955-2A9A-4D6A-8446-D6A002028476}">
  <sheetPr codeName="Sheet4"/>
  <dimension ref="A1:M26"/>
  <sheetViews>
    <sheetView workbookViewId="0">
      <selection activeCell="G20" sqref="G20"/>
    </sheetView>
  </sheetViews>
  <sheetFormatPr defaultRowHeight="14.5" x14ac:dyDescent="0.35"/>
  <cols>
    <col min="1" max="1" width="30.08984375" customWidth="1"/>
    <col min="2" max="2" width="26.90625" bestFit="1" customWidth="1"/>
    <col min="3" max="3" width="10.1796875" bestFit="1" customWidth="1"/>
    <col min="4" max="4" width="7.453125" customWidth="1"/>
    <col min="5" max="5" width="5.1796875" bestFit="1" customWidth="1"/>
    <col min="6" max="6" width="1.08984375" customWidth="1"/>
    <col min="7" max="7" width="30.90625" bestFit="1" customWidth="1"/>
    <col min="8" max="8" width="6.6328125" customWidth="1"/>
    <col min="9" max="9" width="4.26953125" bestFit="1" customWidth="1"/>
    <col min="10" max="10" width="1.08984375" customWidth="1"/>
    <col min="11" max="11" width="24" bestFit="1" customWidth="1"/>
    <col min="12" max="12" width="6.7265625" customWidth="1"/>
    <col min="13" max="13" width="4.26953125" bestFit="1" customWidth="1"/>
  </cols>
  <sheetData>
    <row r="1" spans="1:13" ht="15" thickBot="1" x14ac:dyDescent="0.4">
      <c r="B1" s="22" t="s">
        <v>70</v>
      </c>
      <c r="C1" s="46"/>
      <c r="D1" s="46" t="s">
        <v>71</v>
      </c>
      <c r="E1" s="28" t="s">
        <v>72</v>
      </c>
    </row>
    <row r="2" spans="1:13" ht="16.5" x14ac:dyDescent="0.45">
      <c r="A2" s="2" t="s">
        <v>99</v>
      </c>
      <c r="B2" s="9" t="s">
        <v>0</v>
      </c>
      <c r="C2" s="35" t="s">
        <v>85</v>
      </c>
      <c r="D2" s="10">
        <v>7</v>
      </c>
      <c r="E2" s="11" t="s">
        <v>19</v>
      </c>
    </row>
    <row r="3" spans="1:13" ht="16.5" x14ac:dyDescent="0.45">
      <c r="A3" s="50" t="s">
        <v>100</v>
      </c>
      <c r="B3" s="34" t="s">
        <v>116</v>
      </c>
      <c r="C3" s="21" t="s">
        <v>82</v>
      </c>
      <c r="D3" s="13">
        <v>52</v>
      </c>
      <c r="E3" s="14" t="s">
        <v>20</v>
      </c>
      <c r="G3" t="s">
        <v>57</v>
      </c>
    </row>
    <row r="4" spans="1:13" ht="16.5" x14ac:dyDescent="0.45">
      <c r="A4" s="3" t="s">
        <v>101</v>
      </c>
      <c r="B4" s="15" t="s">
        <v>34</v>
      </c>
      <c r="C4" s="29" t="s">
        <v>79</v>
      </c>
      <c r="D4" s="13">
        <v>300</v>
      </c>
      <c r="E4" s="14" t="s">
        <v>22</v>
      </c>
    </row>
    <row r="5" spans="1:13" ht="16.5" x14ac:dyDescent="0.45">
      <c r="B5" s="15" t="s">
        <v>35</v>
      </c>
      <c r="C5" s="21" t="s">
        <v>92</v>
      </c>
      <c r="D5" s="13">
        <v>0.75</v>
      </c>
      <c r="E5" s="20" t="s">
        <v>27</v>
      </c>
    </row>
    <row r="6" spans="1:13" ht="16.5" x14ac:dyDescent="0.45">
      <c r="B6" s="15" t="s">
        <v>38</v>
      </c>
      <c r="C6" s="29" t="s">
        <v>93</v>
      </c>
      <c r="D6" s="27">
        <v>1</v>
      </c>
      <c r="E6" s="20" t="s">
        <v>27</v>
      </c>
    </row>
    <row r="7" spans="1:13" ht="16.5" x14ac:dyDescent="0.45">
      <c r="B7" s="15" t="s">
        <v>50</v>
      </c>
      <c r="C7" s="29" t="s">
        <v>94</v>
      </c>
      <c r="D7" s="13">
        <v>5</v>
      </c>
      <c r="E7" s="20" t="s">
        <v>27</v>
      </c>
      <c r="G7" s="21"/>
      <c r="H7" s="29"/>
      <c r="I7" s="24"/>
    </row>
    <row r="8" spans="1:13" ht="16.5" x14ac:dyDescent="0.45">
      <c r="B8" s="15" t="s">
        <v>39</v>
      </c>
      <c r="C8" s="29" t="s">
        <v>95</v>
      </c>
      <c r="D8" s="27">
        <v>0.85</v>
      </c>
      <c r="E8" s="20" t="s">
        <v>27</v>
      </c>
      <c r="G8" t="s">
        <v>58</v>
      </c>
    </row>
    <row r="9" spans="1:13" ht="16.5" x14ac:dyDescent="0.45">
      <c r="B9" s="15" t="s">
        <v>51</v>
      </c>
      <c r="C9" s="29" t="s">
        <v>96</v>
      </c>
      <c r="D9" s="13">
        <v>2</v>
      </c>
      <c r="E9" s="20" t="s">
        <v>27</v>
      </c>
    </row>
    <row r="10" spans="1:13" ht="16.5" x14ac:dyDescent="0.45">
      <c r="B10" s="15" t="s">
        <v>59</v>
      </c>
      <c r="C10" s="29" t="s">
        <v>106</v>
      </c>
      <c r="D10" s="27">
        <v>0.3</v>
      </c>
      <c r="E10" s="14" t="s">
        <v>23</v>
      </c>
    </row>
    <row r="11" spans="1:13" ht="16.5" x14ac:dyDescent="0.45">
      <c r="A11" s="21"/>
      <c r="B11" s="15" t="s">
        <v>60</v>
      </c>
      <c r="C11" s="8" t="s">
        <v>84</v>
      </c>
      <c r="D11" s="27">
        <v>0.7</v>
      </c>
      <c r="E11" s="14" t="s">
        <v>19</v>
      </c>
      <c r="G11" t="s">
        <v>111</v>
      </c>
    </row>
    <row r="12" spans="1:13" ht="16.5" x14ac:dyDescent="0.45">
      <c r="A12" s="21"/>
      <c r="B12" s="15" t="s">
        <v>7</v>
      </c>
      <c r="C12" s="29" t="s">
        <v>78</v>
      </c>
      <c r="D12" s="27">
        <v>0.2</v>
      </c>
      <c r="E12" s="20" t="s">
        <v>23</v>
      </c>
      <c r="K12" s="29"/>
      <c r="L12" s="29"/>
      <c r="M12" s="29"/>
    </row>
    <row r="13" spans="1:13" x14ac:dyDescent="0.35">
      <c r="B13" s="15" t="s">
        <v>67</v>
      </c>
      <c r="C13" s="21"/>
      <c r="D13" s="13" t="s">
        <v>68</v>
      </c>
      <c r="E13" s="14"/>
    </row>
    <row r="14" spans="1:13" ht="16.5" x14ac:dyDescent="0.45">
      <c r="B14" s="15" t="s">
        <v>73</v>
      </c>
      <c r="C14" s="29" t="s">
        <v>107</v>
      </c>
      <c r="D14" s="13">
        <v>1</v>
      </c>
      <c r="E14" s="14" t="s">
        <v>23</v>
      </c>
      <c r="G14" t="s">
        <v>124</v>
      </c>
    </row>
    <row r="15" spans="1:13" ht="16.5" x14ac:dyDescent="0.45">
      <c r="B15" s="15" t="s">
        <v>74</v>
      </c>
      <c r="C15" s="29" t="s">
        <v>108</v>
      </c>
      <c r="D15" s="13">
        <v>1</v>
      </c>
      <c r="E15" s="14" t="s">
        <v>54</v>
      </c>
    </row>
    <row r="16" spans="1:13" ht="16.5" x14ac:dyDescent="0.45">
      <c r="B16" s="15" t="s">
        <v>75</v>
      </c>
      <c r="C16" s="29" t="s">
        <v>109</v>
      </c>
      <c r="D16" s="30">
        <v>10</v>
      </c>
      <c r="E16" s="14" t="s">
        <v>19</v>
      </c>
    </row>
    <row r="17" spans="2:5" ht="16.5" x14ac:dyDescent="0.45">
      <c r="B17" s="31" t="s">
        <v>62</v>
      </c>
      <c r="C17" s="29" t="s">
        <v>81</v>
      </c>
      <c r="D17" s="42">
        <v>2</v>
      </c>
      <c r="E17" s="20" t="s">
        <v>65</v>
      </c>
    </row>
    <row r="18" spans="2:5" ht="16.5" x14ac:dyDescent="0.45">
      <c r="B18" s="31" t="s">
        <v>63</v>
      </c>
      <c r="C18" s="29" t="s">
        <v>110</v>
      </c>
      <c r="D18" s="30">
        <v>82</v>
      </c>
      <c r="E18" s="20" t="s">
        <v>19</v>
      </c>
    </row>
    <row r="19" spans="2:5" ht="17" thickBot="1" x14ac:dyDescent="0.5">
      <c r="B19" s="32" t="s">
        <v>64</v>
      </c>
      <c r="C19" s="51" t="s">
        <v>80</v>
      </c>
      <c r="D19" s="33">
        <v>50</v>
      </c>
      <c r="E19" s="18" t="s">
        <v>21</v>
      </c>
    </row>
    <row r="20" spans="2:5" ht="16.5" x14ac:dyDescent="0.45">
      <c r="B20" s="9" t="s">
        <v>57</v>
      </c>
      <c r="C20" s="35" t="s">
        <v>102</v>
      </c>
      <c r="D20" s="45">
        <f>ROUND(2*10^-3*D2*D3*D4*D6/(D6+D5+D7)+2*10^-3*D2*D3*D4*D8/(D8+D5+D9),2)</f>
        <v>83.92</v>
      </c>
      <c r="E20" s="25" t="s">
        <v>36</v>
      </c>
    </row>
    <row r="21" spans="2:5" ht="16.5" x14ac:dyDescent="0.45">
      <c r="B21" s="15" t="s">
        <v>58</v>
      </c>
      <c r="C21" s="21" t="s">
        <v>103</v>
      </c>
      <c r="D21" s="44">
        <f>D2*D10+(D2-D11)*D12</f>
        <v>3.3600000000000003</v>
      </c>
      <c r="E21" s="20" t="s">
        <v>36</v>
      </c>
    </row>
    <row r="22" spans="2:5" ht="16.5" x14ac:dyDescent="0.45">
      <c r="B22" s="15" t="s">
        <v>124</v>
      </c>
      <c r="C22" s="21" t="s">
        <v>104</v>
      </c>
      <c r="D22" s="37">
        <f>D11*(D12+D3*D4)*10^-6</f>
        <v>1.0920139999999998E-2</v>
      </c>
      <c r="E22" s="14" t="s">
        <v>36</v>
      </c>
    </row>
    <row r="23" spans="2:5" ht="17" thickBot="1" x14ac:dyDescent="0.5">
      <c r="B23" s="26" t="s">
        <v>61</v>
      </c>
      <c r="C23" s="47" t="s">
        <v>105</v>
      </c>
      <c r="D23" s="17">
        <f>D17*D18*D19*10^-3</f>
        <v>8.1999999999999993</v>
      </c>
      <c r="E23" s="39" t="s">
        <v>36</v>
      </c>
    </row>
    <row r="24" spans="2:5" ht="15" thickBot="1" x14ac:dyDescent="0.4">
      <c r="B24" s="32" t="s">
        <v>66</v>
      </c>
      <c r="C24" s="51"/>
      <c r="D24" s="17">
        <f>ROUND(D20+D21+D23+IF(D13="yes",D22,0),2)</f>
        <v>95.49</v>
      </c>
      <c r="E24" s="43" t="s">
        <v>36</v>
      </c>
    </row>
    <row r="25" spans="2:5" ht="17" thickBot="1" x14ac:dyDescent="0.5">
      <c r="B25" s="32" t="s">
        <v>127</v>
      </c>
      <c r="C25" s="51" t="s">
        <v>130</v>
      </c>
      <c r="D25" s="38">
        <v>118.3</v>
      </c>
      <c r="E25" s="43" t="s">
        <v>128</v>
      </c>
    </row>
    <row r="26" spans="2:5" ht="29.5" thickBot="1" x14ac:dyDescent="0.4">
      <c r="B26" s="48" t="s">
        <v>125</v>
      </c>
      <c r="C26" s="46" t="s">
        <v>126</v>
      </c>
      <c r="D26" s="54">
        <f>D24*D25*0.001</f>
        <v>11.296467</v>
      </c>
      <c r="E26" s="28" t="s">
        <v>129</v>
      </c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9935B1-D78E-48AD-9F99-DD8FABFA15BC}">
          <x14:formula1>
            <xm:f>extra!$O$2:$O$3</xm:f>
          </x14:formula1>
          <xm:sqref>D13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2BAC5-202A-4202-A5B5-D8259E5C6708}">
  <dimension ref="A1:G10"/>
  <sheetViews>
    <sheetView tabSelected="1" workbookViewId="0">
      <selection activeCell="B14" sqref="B14"/>
    </sheetView>
  </sheetViews>
  <sheetFormatPr defaultRowHeight="14.5" x14ac:dyDescent="0.35"/>
  <cols>
    <col min="1" max="1" width="29.08984375" customWidth="1"/>
    <col min="2" max="2" width="30.26953125" bestFit="1" customWidth="1"/>
    <col min="3" max="3" width="10.36328125" bestFit="1" customWidth="1"/>
    <col min="5" max="5" width="4.26953125" bestFit="1" customWidth="1"/>
    <col min="6" max="6" width="3.36328125" customWidth="1"/>
    <col min="7" max="7" width="17.26953125" customWidth="1"/>
  </cols>
  <sheetData>
    <row r="1" spans="1:7" ht="15" thickBot="1" x14ac:dyDescent="0.4">
      <c r="B1" s="22" t="s">
        <v>70</v>
      </c>
      <c r="C1" s="46"/>
      <c r="D1" s="46" t="s">
        <v>71</v>
      </c>
      <c r="E1" s="28" t="s">
        <v>72</v>
      </c>
    </row>
    <row r="2" spans="1:7" ht="16.5" x14ac:dyDescent="0.45">
      <c r="A2" s="2" t="s">
        <v>99</v>
      </c>
      <c r="B2" s="15" t="s">
        <v>33</v>
      </c>
      <c r="C2" s="21" t="s">
        <v>82</v>
      </c>
      <c r="D2" s="13">
        <v>52</v>
      </c>
      <c r="E2" s="14" t="s">
        <v>20</v>
      </c>
    </row>
    <row r="3" spans="1:7" ht="16.5" x14ac:dyDescent="0.45">
      <c r="A3" s="50" t="s">
        <v>100</v>
      </c>
      <c r="B3" s="15" t="s">
        <v>133</v>
      </c>
      <c r="C3" s="21" t="s">
        <v>132</v>
      </c>
      <c r="D3" s="13">
        <v>10</v>
      </c>
      <c r="E3" s="14" t="s">
        <v>19</v>
      </c>
    </row>
    <row r="4" spans="1:7" ht="16.5" x14ac:dyDescent="0.45">
      <c r="A4" s="3" t="s">
        <v>101</v>
      </c>
      <c r="B4" s="15" t="s">
        <v>35</v>
      </c>
      <c r="C4" s="21" t="s">
        <v>92</v>
      </c>
      <c r="D4" s="13">
        <v>0.75</v>
      </c>
      <c r="E4" s="20" t="s">
        <v>27</v>
      </c>
      <c r="G4" t="s">
        <v>91</v>
      </c>
    </row>
    <row r="5" spans="1:7" ht="16.5" x14ac:dyDescent="0.45">
      <c r="B5" s="15" t="s">
        <v>38</v>
      </c>
      <c r="C5" s="29" t="s">
        <v>93</v>
      </c>
      <c r="D5" s="27">
        <v>1</v>
      </c>
      <c r="E5" s="20" t="s">
        <v>27</v>
      </c>
    </row>
    <row r="6" spans="1:7" ht="16.5" x14ac:dyDescent="0.45">
      <c r="B6" s="15" t="s">
        <v>50</v>
      </c>
      <c r="C6" s="29" t="s">
        <v>94</v>
      </c>
      <c r="D6" s="13">
        <v>5</v>
      </c>
      <c r="E6" s="20" t="s">
        <v>27</v>
      </c>
    </row>
    <row r="7" spans="1:7" ht="16.5" x14ac:dyDescent="0.45">
      <c r="B7" s="15" t="s">
        <v>39</v>
      </c>
      <c r="C7" s="29" t="s">
        <v>95</v>
      </c>
      <c r="D7" s="27">
        <v>0.85</v>
      </c>
      <c r="E7" s="20" t="s">
        <v>27</v>
      </c>
    </row>
    <row r="8" spans="1:7" ht="17" thickBot="1" x14ac:dyDescent="0.5">
      <c r="B8" s="15" t="s">
        <v>51</v>
      </c>
      <c r="C8" s="29" t="s">
        <v>96</v>
      </c>
      <c r="D8" s="13">
        <v>2</v>
      </c>
      <c r="E8" s="20" t="s">
        <v>27</v>
      </c>
    </row>
    <row r="9" spans="1:7" ht="16.5" x14ac:dyDescent="0.45">
      <c r="B9" s="9" t="s">
        <v>52</v>
      </c>
      <c r="C9" s="35" t="s">
        <v>97</v>
      </c>
      <c r="D9" s="19">
        <f>ROUND(2*(D5+D6+D4)*D2/D3,0)</f>
        <v>70</v>
      </c>
      <c r="E9" s="25" t="s">
        <v>54</v>
      </c>
    </row>
    <row r="10" spans="1:7" ht="17" thickBot="1" x14ac:dyDescent="0.5">
      <c r="B10" s="26" t="s">
        <v>53</v>
      </c>
      <c r="C10" s="47" t="s">
        <v>98</v>
      </c>
      <c r="D10" s="23">
        <f>ROUND(2*(D7+D8+D4)*D2/D3,0)</f>
        <v>37</v>
      </c>
      <c r="E10" s="18" t="s">
        <v>54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FBB2D-2F6C-4987-AF6C-2BDF822F43B4}">
  <dimension ref="B2:O23"/>
  <sheetViews>
    <sheetView workbookViewId="0">
      <selection activeCell="O2" sqref="O2"/>
    </sheetView>
  </sheetViews>
  <sheetFormatPr defaultRowHeight="14.5" x14ac:dyDescent="0.35"/>
  <cols>
    <col min="10" max="10" width="9.7265625" customWidth="1"/>
    <col min="11" max="11" width="9" customWidth="1"/>
  </cols>
  <sheetData>
    <row r="2" spans="2:15" x14ac:dyDescent="0.35">
      <c r="B2" t="s">
        <v>41</v>
      </c>
      <c r="C2" t="s">
        <v>45</v>
      </c>
      <c r="D2" t="s">
        <v>43</v>
      </c>
      <c r="E2" t="s">
        <v>44</v>
      </c>
      <c r="F2" t="s">
        <v>42</v>
      </c>
      <c r="I2" t="s">
        <v>46</v>
      </c>
      <c r="J2" t="s">
        <v>47</v>
      </c>
      <c r="K2" t="s">
        <v>48</v>
      </c>
      <c r="L2" t="s">
        <v>55</v>
      </c>
      <c r="M2" t="s">
        <v>56</v>
      </c>
      <c r="O2" t="s">
        <v>68</v>
      </c>
    </row>
    <row r="3" spans="2:15" x14ac:dyDescent="0.35">
      <c r="B3">
        <v>0</v>
      </c>
      <c r="C3">
        <v>0</v>
      </c>
      <c r="D3">
        <f>Bootstrap!I$5</f>
        <v>3</v>
      </c>
      <c r="E3">
        <f>Bootstrap!D$12*0.001</f>
        <v>2.7E-2</v>
      </c>
      <c r="F3">
        <v>0</v>
      </c>
      <c r="I3">
        <v>0</v>
      </c>
      <c r="J3">
        <f>2*10^-3*'Power Dissipation'!D$2*'Power Dissipation'!D$3*'Power Dissipation'!D$4*('Power Dissipation'!D$6/('Power Dissipation'!D$5+'Power Dissipation'!D$6+extra!I3))</f>
        <v>124.8</v>
      </c>
      <c r="K3">
        <f>2*10^-3*'Power Dissipation'!D$2*'Power Dissipation'!D$3*'Power Dissipation'!D$4*('Power Dissipation'!D$8/('Power Dissipation'!D$5+'Power Dissipation'!D$8+extra!I3))</f>
        <v>116.02500000000001</v>
      </c>
      <c r="L3">
        <f>'Switching Times'!D$3*('Switching Times'!D$4+'Switching Times'!D$5+extra!I3)/'Switching Times'!D$2</f>
        <v>0.33653846153846156</v>
      </c>
      <c r="M3">
        <f>'Switching Times'!D$3*('Switching Times'!D$4+'Switching Times'!D$7+extra!I3)/'Switching Times'!D$2</f>
        <v>0.30769230769230771</v>
      </c>
      <c r="O3" t="s">
        <v>69</v>
      </c>
    </row>
    <row r="4" spans="2:15" x14ac:dyDescent="0.35">
      <c r="B4">
        <v>0.5</v>
      </c>
      <c r="C4" t="e">
        <f>Bootstrap!D$2/(extra!B4*Bootstrap!#REF!)</f>
        <v>#REF!</v>
      </c>
      <c r="D4">
        <f>Bootstrap!I$5</f>
        <v>3</v>
      </c>
      <c r="E4">
        <f>Bootstrap!D$12*0.001</f>
        <v>2.7E-2</v>
      </c>
      <c r="F4">
        <v>0.1</v>
      </c>
      <c r="I4">
        <v>0.5</v>
      </c>
      <c r="J4">
        <f>2*10^-3*'Power Dissipation'!D$2*'Power Dissipation'!D$3*'Power Dissipation'!D$4*('Power Dissipation'!D$6/('Power Dissipation'!D$5+'Power Dissipation'!D$6+extra!I4))</f>
        <v>97.066666666666663</v>
      </c>
      <c r="K4">
        <f>2*10^-3*'Power Dissipation'!D$2*'Power Dissipation'!D$3*'Power Dissipation'!D$4*('Power Dissipation'!D$8/('Power Dissipation'!D$5+'Power Dissipation'!D$8+extra!I4))</f>
        <v>88.399999999999991</v>
      </c>
      <c r="L4">
        <f>'Switching Times'!D$3*('Switching Times'!D$4+'Switching Times'!D$5+extra!I4)/'Switching Times'!D$2</f>
        <v>0.43269230769230771</v>
      </c>
      <c r="M4">
        <f>'Switching Times'!D$3*('Switching Times'!D$4+'Switching Times'!D$7+extra!I4)/'Switching Times'!D$2</f>
        <v>0.40384615384615385</v>
      </c>
    </row>
    <row r="5" spans="2:15" x14ac:dyDescent="0.35">
      <c r="B5">
        <v>1</v>
      </c>
      <c r="C5" t="e">
        <f>Bootstrap!D$2/(extra!B5*Bootstrap!#REF!)</f>
        <v>#REF!</v>
      </c>
      <c r="D5">
        <f>Bootstrap!I$5</f>
        <v>3</v>
      </c>
      <c r="E5">
        <f>Bootstrap!D$12*0.001</f>
        <v>2.7E-2</v>
      </c>
      <c r="F5">
        <v>0.2</v>
      </c>
      <c r="I5">
        <v>1</v>
      </c>
      <c r="J5">
        <f>2*10^-3*'Power Dissipation'!D$2*'Power Dissipation'!D$3*'Power Dissipation'!D$4*('Power Dissipation'!D$6/('Power Dissipation'!D$5+'Power Dissipation'!D$6+extra!I5))</f>
        <v>79.418181818181822</v>
      </c>
      <c r="K5">
        <f>2*10^-3*'Power Dissipation'!D$2*'Power Dissipation'!D$3*'Power Dissipation'!D$4*('Power Dissipation'!D$8/('Power Dissipation'!D$5+'Power Dissipation'!D$8+extra!I5))</f>
        <v>71.400000000000006</v>
      </c>
      <c r="L5">
        <f>'Switching Times'!D$3*('Switching Times'!D$4+'Switching Times'!D$5+extra!I5)/'Switching Times'!D$2</f>
        <v>0.52884615384615385</v>
      </c>
      <c r="M5">
        <f>'Switching Times'!D$3*('Switching Times'!D$4+'Switching Times'!D$7+extra!I5)/'Switching Times'!D$2</f>
        <v>0.5</v>
      </c>
    </row>
    <row r="6" spans="2:15" x14ac:dyDescent="0.35">
      <c r="B6">
        <v>1.5</v>
      </c>
      <c r="C6" t="e">
        <f>Bootstrap!D$2/(extra!B6*Bootstrap!#REF!)</f>
        <v>#REF!</v>
      </c>
      <c r="D6">
        <f>Bootstrap!I$5</f>
        <v>3</v>
      </c>
      <c r="E6">
        <f>Bootstrap!D$12*0.001</f>
        <v>2.7E-2</v>
      </c>
      <c r="F6">
        <v>0.3</v>
      </c>
      <c r="I6">
        <v>1.5</v>
      </c>
      <c r="J6">
        <f>2*10^-3*'Power Dissipation'!D$2*'Power Dissipation'!D$3*'Power Dissipation'!D$4*('Power Dissipation'!D$6/('Power Dissipation'!D$5+'Power Dissipation'!D$6+extra!I6))</f>
        <v>67.2</v>
      </c>
      <c r="K6">
        <f>2*10^-3*'Power Dissipation'!D$2*'Power Dissipation'!D$3*'Power Dissipation'!D$4*('Power Dissipation'!D$8/('Power Dissipation'!D$5+'Power Dissipation'!D$8+extra!I6))</f>
        <v>59.883870967741935</v>
      </c>
      <c r="L6">
        <f>'Switching Times'!D$3*('Switching Times'!D$4+'Switching Times'!D$5+extra!I6)/'Switching Times'!D$2</f>
        <v>0.625</v>
      </c>
      <c r="M6">
        <f>'Switching Times'!D$3*('Switching Times'!D$4+'Switching Times'!D$7+extra!I6)/'Switching Times'!D$2</f>
        <v>0.59615384615384615</v>
      </c>
    </row>
    <row r="7" spans="2:15" x14ac:dyDescent="0.35">
      <c r="B7">
        <v>2</v>
      </c>
      <c r="C7" t="e">
        <f>Bootstrap!D$2/(extra!B7*Bootstrap!#REF!)</f>
        <v>#REF!</v>
      </c>
      <c r="D7">
        <f>Bootstrap!I$5</f>
        <v>3</v>
      </c>
      <c r="E7">
        <f>Bootstrap!D$12*0.001</f>
        <v>2.7E-2</v>
      </c>
      <c r="F7">
        <v>0.4</v>
      </c>
      <c r="I7">
        <v>2</v>
      </c>
      <c r="J7">
        <f>2*10^-3*'Power Dissipation'!D$2*'Power Dissipation'!D$3*'Power Dissipation'!D$4*('Power Dissipation'!D$6/('Power Dissipation'!D$5+'Power Dissipation'!D$6+extra!I7))</f>
        <v>58.24</v>
      </c>
      <c r="K7">
        <f>2*10^-3*'Power Dissipation'!D$2*'Power Dissipation'!D$3*'Power Dissipation'!D$4*('Power Dissipation'!D$8/('Power Dissipation'!D$5+'Power Dissipation'!D$8+extra!I7))</f>
        <v>51.56666666666667</v>
      </c>
      <c r="L7">
        <f>'Switching Times'!D$3*('Switching Times'!D$4+'Switching Times'!D$5+extra!I7)/'Switching Times'!D$2</f>
        <v>0.72115384615384615</v>
      </c>
      <c r="M7">
        <f>'Switching Times'!D$3*('Switching Times'!D$4+'Switching Times'!D$7+extra!I7)/'Switching Times'!D$2</f>
        <v>0.69230769230769229</v>
      </c>
    </row>
    <row r="8" spans="2:15" x14ac:dyDescent="0.35">
      <c r="B8">
        <v>2.5</v>
      </c>
      <c r="C8" t="e">
        <f>Bootstrap!D$2/(extra!B8*Bootstrap!#REF!)</f>
        <v>#REF!</v>
      </c>
      <c r="D8">
        <f>Bootstrap!I$5</f>
        <v>3</v>
      </c>
      <c r="E8">
        <f>Bootstrap!D$12*0.001</f>
        <v>2.7E-2</v>
      </c>
      <c r="F8">
        <v>0.5</v>
      </c>
      <c r="I8">
        <v>2.5</v>
      </c>
      <c r="J8">
        <f>2*10^-3*'Power Dissipation'!D$2*'Power Dissipation'!D$3*'Power Dissipation'!D$4*('Power Dissipation'!D$6/('Power Dissipation'!D$5+'Power Dissipation'!D$6+extra!I8))</f>
        <v>51.388235294117649</v>
      </c>
      <c r="K8">
        <f>2*10^-3*'Power Dissipation'!D$2*'Power Dissipation'!D$3*'Power Dissipation'!D$4*('Power Dissipation'!D$8/('Power Dissipation'!D$5+'Power Dissipation'!D$8+extra!I8))</f>
        <v>45.278048780487808</v>
      </c>
      <c r="L8">
        <f>'Switching Times'!D$3*('Switching Times'!D$4+'Switching Times'!D$5+extra!I8)/'Switching Times'!D$2</f>
        <v>0.81730769230769229</v>
      </c>
      <c r="M8">
        <f>'Switching Times'!D$3*('Switching Times'!D$4+'Switching Times'!D$7+extra!I8)/'Switching Times'!D$2</f>
        <v>0.78846153846153844</v>
      </c>
    </row>
    <row r="9" spans="2:15" x14ac:dyDescent="0.35">
      <c r="B9">
        <v>3</v>
      </c>
      <c r="C9" t="e">
        <f>Bootstrap!D$2/(extra!B9*Bootstrap!#REF!)</f>
        <v>#REF!</v>
      </c>
      <c r="D9">
        <f>Bootstrap!I$5</f>
        <v>3</v>
      </c>
      <c r="E9">
        <f>Bootstrap!D$12*0.001</f>
        <v>2.7E-2</v>
      </c>
      <c r="F9">
        <v>0.6</v>
      </c>
      <c r="I9">
        <v>3</v>
      </c>
      <c r="J9">
        <f>2*10^-3*'Power Dissipation'!D$2*'Power Dissipation'!D$3*'Power Dissipation'!D$4*('Power Dissipation'!D$6/('Power Dissipation'!D$5+'Power Dissipation'!D$6+extra!I9))</f>
        <v>45.978947368421053</v>
      </c>
      <c r="K9">
        <f>2*10^-3*'Power Dissipation'!D$2*'Power Dissipation'!D$3*'Power Dissipation'!D$4*('Power Dissipation'!D$8/('Power Dissipation'!D$5+'Power Dissipation'!D$8+extra!I9))</f>
        <v>40.356521739130436</v>
      </c>
      <c r="L9">
        <f>'Switching Times'!D$3*('Switching Times'!D$4+'Switching Times'!D$5+extra!I9)/'Switching Times'!D$2</f>
        <v>0.91346153846153844</v>
      </c>
      <c r="M9">
        <f>'Switching Times'!D$3*('Switching Times'!D$4+'Switching Times'!D$7+extra!I9)/'Switching Times'!D$2</f>
        <v>0.88461538461538458</v>
      </c>
    </row>
    <row r="10" spans="2:15" x14ac:dyDescent="0.35">
      <c r="B10">
        <v>3.5</v>
      </c>
      <c r="C10" t="e">
        <f>Bootstrap!D$2/(extra!B10*Bootstrap!#REF!)</f>
        <v>#REF!</v>
      </c>
      <c r="D10">
        <f>Bootstrap!I$5</f>
        <v>3</v>
      </c>
      <c r="E10">
        <f>Bootstrap!D$12*0.001</f>
        <v>2.7E-2</v>
      </c>
      <c r="F10">
        <v>0.7</v>
      </c>
      <c r="I10">
        <v>3.5</v>
      </c>
      <c r="J10">
        <f>2*10^-3*'Power Dissipation'!D$2*'Power Dissipation'!D$3*'Power Dissipation'!D$4*('Power Dissipation'!D$6/('Power Dissipation'!D$5+'Power Dissipation'!D$6+extra!I10))</f>
        <v>41.6</v>
      </c>
      <c r="K10">
        <f>2*10^-3*'Power Dissipation'!D$2*'Power Dissipation'!D$3*'Power Dissipation'!D$4*('Power Dissipation'!D$8/('Power Dissipation'!D$5+'Power Dissipation'!D$8+extra!I10))</f>
        <v>36.400000000000006</v>
      </c>
      <c r="L10">
        <f>'Switching Times'!D$3*('Switching Times'!D$4+'Switching Times'!D$5+extra!I10)/'Switching Times'!D$2</f>
        <v>1.0096153846153846</v>
      </c>
      <c r="M10">
        <f>'Switching Times'!D$3*('Switching Times'!D$4+'Switching Times'!D$7+extra!I10)/'Switching Times'!D$2</f>
        <v>0.98076923076923073</v>
      </c>
    </row>
    <row r="11" spans="2:15" x14ac:dyDescent="0.35">
      <c r="B11">
        <v>4</v>
      </c>
      <c r="C11" t="e">
        <f>Bootstrap!D$2/(extra!B11*Bootstrap!#REF!)</f>
        <v>#REF!</v>
      </c>
      <c r="D11">
        <f>Bootstrap!I$5</f>
        <v>3</v>
      </c>
      <c r="E11">
        <f>Bootstrap!D$12*0.001</f>
        <v>2.7E-2</v>
      </c>
      <c r="F11">
        <v>0.8</v>
      </c>
      <c r="I11">
        <v>4</v>
      </c>
      <c r="J11">
        <f>2*10^-3*'Power Dissipation'!D$2*'Power Dissipation'!D$3*'Power Dissipation'!D$4*('Power Dissipation'!D$6/('Power Dissipation'!D$5+'Power Dissipation'!D$6+extra!I11))</f>
        <v>37.982608695652175</v>
      </c>
      <c r="K11">
        <f>2*10^-3*'Power Dissipation'!D$2*'Power Dissipation'!D$3*'Power Dissipation'!D$4*('Power Dissipation'!D$8/('Power Dissipation'!D$5+'Power Dissipation'!D$8+extra!I11))</f>
        <v>33.150000000000006</v>
      </c>
      <c r="L11">
        <f>'Switching Times'!D$3*('Switching Times'!D$4+'Switching Times'!D$5+extra!I11)/'Switching Times'!D$2</f>
        <v>1.1057692307692308</v>
      </c>
      <c r="M11">
        <f>'Switching Times'!D$3*('Switching Times'!D$4+'Switching Times'!D$7+extra!I11)/'Switching Times'!D$2</f>
        <v>1.0769230769230769</v>
      </c>
    </row>
    <row r="12" spans="2:15" x14ac:dyDescent="0.35">
      <c r="B12">
        <v>4.5</v>
      </c>
      <c r="C12" t="e">
        <f>Bootstrap!D$2/(extra!B12*Bootstrap!#REF!)</f>
        <v>#REF!</v>
      </c>
      <c r="D12">
        <f>Bootstrap!I$5</f>
        <v>3</v>
      </c>
      <c r="E12">
        <f>Bootstrap!D$12*0.001</f>
        <v>2.7E-2</v>
      </c>
      <c r="F12">
        <v>0.9</v>
      </c>
      <c r="I12">
        <v>4.5</v>
      </c>
      <c r="J12">
        <f>2*10^-3*'Power Dissipation'!D$2*'Power Dissipation'!D$3*'Power Dissipation'!D$4*('Power Dissipation'!D$6/('Power Dissipation'!D$5+'Power Dissipation'!D$6+extra!I12))</f>
        <v>34.944000000000003</v>
      </c>
      <c r="K12">
        <f>2*10^-3*'Power Dissipation'!D$2*'Power Dissipation'!D$3*'Power Dissipation'!D$4*('Power Dissipation'!D$8/('Power Dissipation'!D$5+'Power Dissipation'!D$8+extra!I12))</f>
        <v>30.432786885245907</v>
      </c>
      <c r="L12">
        <f>'Switching Times'!D$3*('Switching Times'!D$4+'Switching Times'!D$5+extra!I12)/'Switching Times'!D$2</f>
        <v>1.2019230769230769</v>
      </c>
      <c r="M12">
        <f>'Switching Times'!D$3*('Switching Times'!D$4+'Switching Times'!D$7+extra!I12)/'Switching Times'!D$2</f>
        <v>1.1730769230769231</v>
      </c>
    </row>
    <row r="13" spans="2:15" x14ac:dyDescent="0.35">
      <c r="B13">
        <v>5</v>
      </c>
      <c r="C13" t="e">
        <f>Bootstrap!D$2/(extra!B13*Bootstrap!#REF!)</f>
        <v>#REF!</v>
      </c>
      <c r="D13">
        <f>Bootstrap!I$5</f>
        <v>3</v>
      </c>
      <c r="E13">
        <f>Bootstrap!D$12*0.001</f>
        <v>2.7E-2</v>
      </c>
      <c r="F13">
        <v>1</v>
      </c>
      <c r="I13">
        <v>5</v>
      </c>
      <c r="J13">
        <f>2*10^-3*'Power Dissipation'!D$2*'Power Dissipation'!D$3*'Power Dissipation'!D$4*('Power Dissipation'!D$6/('Power Dissipation'!D$5+'Power Dissipation'!D$6+extra!I13))</f>
        <v>32.355555555555554</v>
      </c>
      <c r="K13">
        <f>2*10^-3*'Power Dissipation'!D$2*'Power Dissipation'!D$3*'Power Dissipation'!D$4*('Power Dissipation'!D$8/('Power Dissipation'!D$5+'Power Dissipation'!D$8+extra!I13))</f>
        <v>28.127272727272729</v>
      </c>
      <c r="L13">
        <f>'Switching Times'!D$3*('Switching Times'!D$4+'Switching Times'!D$5+extra!I13)/'Switching Times'!D$2</f>
        <v>1.2980769230769231</v>
      </c>
      <c r="M13">
        <f>'Switching Times'!D$3*('Switching Times'!D$4+'Switching Times'!D$7+extra!I13)/'Switching Times'!D$2</f>
        <v>1.2692307692307692</v>
      </c>
    </row>
    <row r="14" spans="2:15" x14ac:dyDescent="0.35">
      <c r="B14">
        <v>5.5</v>
      </c>
      <c r="C14" t="e">
        <f>Bootstrap!D$2/(extra!B14*Bootstrap!#REF!)</f>
        <v>#REF!</v>
      </c>
      <c r="D14">
        <f>Bootstrap!I$5</f>
        <v>3</v>
      </c>
      <c r="E14">
        <f>Bootstrap!D$12*0.001</f>
        <v>2.7E-2</v>
      </c>
      <c r="F14">
        <v>1.1000000000000001</v>
      </c>
      <c r="I14">
        <v>5.5</v>
      </c>
      <c r="J14">
        <f>2*10^-3*'Power Dissipation'!D$2*'Power Dissipation'!D$3*'Power Dissipation'!D$4*('Power Dissipation'!D$6/('Power Dissipation'!D$5+'Power Dissipation'!D$6+extra!I14))</f>
        <v>30.124137931034483</v>
      </c>
      <c r="K14">
        <f>2*10^-3*'Power Dissipation'!D$2*'Power Dissipation'!D$3*'Power Dissipation'!D$4*('Power Dissipation'!D$8/('Power Dissipation'!D$5+'Power Dissipation'!D$8+extra!I14))</f>
        <v>26.146478873239438</v>
      </c>
      <c r="L14">
        <f>'Switching Times'!D$3*('Switching Times'!D$4+'Switching Times'!D$5+extra!I14)/'Switching Times'!D$2</f>
        <v>1.3942307692307692</v>
      </c>
      <c r="M14">
        <f>'Switching Times'!D$3*('Switching Times'!D$4+'Switching Times'!D$7+extra!I14)/'Switching Times'!D$2</f>
        <v>1.3653846153846154</v>
      </c>
    </row>
    <row r="15" spans="2:15" x14ac:dyDescent="0.35">
      <c r="B15">
        <v>6</v>
      </c>
      <c r="C15" t="e">
        <f>Bootstrap!D$2/(extra!B15*Bootstrap!#REF!)</f>
        <v>#REF!</v>
      </c>
      <c r="D15">
        <f>Bootstrap!I$5</f>
        <v>3</v>
      </c>
      <c r="E15">
        <f>Bootstrap!D$12*0.001</f>
        <v>2.7E-2</v>
      </c>
      <c r="F15">
        <v>1.2</v>
      </c>
      <c r="I15">
        <v>6</v>
      </c>
      <c r="J15">
        <f>2*10^-3*'Power Dissipation'!D$2*'Power Dissipation'!D$3*'Power Dissipation'!D$4*('Power Dissipation'!D$6/('Power Dissipation'!D$5+'Power Dissipation'!D$6+extra!I15))</f>
        <v>28.180645161290322</v>
      </c>
      <c r="K15">
        <f>2*10^-3*'Power Dissipation'!D$2*'Power Dissipation'!D$3*'Power Dissipation'!D$4*('Power Dissipation'!D$8/('Power Dissipation'!D$5+'Power Dissipation'!D$8+extra!I15))</f>
        <v>24.426315789473684</v>
      </c>
      <c r="L15">
        <f>'Switching Times'!D$3*('Switching Times'!D$4+'Switching Times'!D$5+extra!I15)/'Switching Times'!D$2</f>
        <v>1.4903846153846154</v>
      </c>
      <c r="M15">
        <f>'Switching Times'!D$3*('Switching Times'!D$4+'Switching Times'!D$7+extra!I15)/'Switching Times'!D$2</f>
        <v>1.4615384615384615</v>
      </c>
    </row>
    <row r="16" spans="2:15" x14ac:dyDescent="0.35">
      <c r="B16">
        <v>6.5</v>
      </c>
      <c r="C16" t="e">
        <f>Bootstrap!D$2/(extra!B16*Bootstrap!#REF!)</f>
        <v>#REF!</v>
      </c>
      <c r="D16">
        <f>Bootstrap!I$5</f>
        <v>3</v>
      </c>
      <c r="E16">
        <f>Bootstrap!D$12*0.001</f>
        <v>2.7E-2</v>
      </c>
      <c r="F16">
        <v>1.3</v>
      </c>
      <c r="I16">
        <v>6.5</v>
      </c>
      <c r="J16">
        <f>2*10^-3*'Power Dissipation'!D$2*'Power Dissipation'!D$3*'Power Dissipation'!D$4*('Power Dissipation'!D$6/('Power Dissipation'!D$5+'Power Dissipation'!D$6+extra!I16))</f>
        <v>26.472727272727273</v>
      </c>
      <c r="K16">
        <f>2*10^-3*'Power Dissipation'!D$2*'Power Dissipation'!D$3*'Power Dissipation'!D$4*('Power Dissipation'!D$8/('Power Dissipation'!D$5+'Power Dissipation'!D$8+extra!I16))</f>
        <v>22.918518518518521</v>
      </c>
      <c r="L16">
        <f>'Switching Times'!D$3*('Switching Times'!D$4+'Switching Times'!D$5+extra!I16)/'Switching Times'!D$2</f>
        <v>1.5865384615384615</v>
      </c>
      <c r="M16">
        <f>'Switching Times'!D$3*('Switching Times'!D$4+'Switching Times'!D$7+extra!I16)/'Switching Times'!D$2</f>
        <v>1.5576923076923077</v>
      </c>
    </row>
    <row r="17" spans="2:13" x14ac:dyDescent="0.35">
      <c r="B17">
        <v>7</v>
      </c>
      <c r="C17" t="e">
        <f>Bootstrap!D$2/(extra!B17*Bootstrap!#REF!)</f>
        <v>#REF!</v>
      </c>
      <c r="D17">
        <f>Bootstrap!I$5</f>
        <v>3</v>
      </c>
      <c r="E17">
        <f>Bootstrap!D$12*0.001</f>
        <v>2.7E-2</v>
      </c>
      <c r="F17">
        <v>1.4</v>
      </c>
      <c r="I17">
        <v>7</v>
      </c>
      <c r="J17">
        <f>2*10^-3*'Power Dissipation'!D$2*'Power Dissipation'!D$3*'Power Dissipation'!D$4*('Power Dissipation'!D$6/('Power Dissipation'!D$5+'Power Dissipation'!D$6+extra!I17))</f>
        <v>24.96</v>
      </c>
      <c r="K17">
        <f>2*10^-3*'Power Dissipation'!D$2*'Power Dissipation'!D$3*'Power Dissipation'!D$4*('Power Dissipation'!D$8/('Power Dissipation'!D$5+'Power Dissipation'!D$8+extra!I17))</f>
        <v>21.586046511627906</v>
      </c>
      <c r="L17">
        <f>'Switching Times'!D$3*('Switching Times'!D$4+'Switching Times'!D$5+extra!I17)/'Switching Times'!D$2</f>
        <v>1.6826923076923077</v>
      </c>
      <c r="M17">
        <f>'Switching Times'!D$3*('Switching Times'!D$4+'Switching Times'!D$7+extra!I17)/'Switching Times'!D$2</f>
        <v>1.6538461538461537</v>
      </c>
    </row>
    <row r="18" spans="2:13" x14ac:dyDescent="0.35">
      <c r="B18">
        <v>7.5</v>
      </c>
      <c r="C18" t="e">
        <f>Bootstrap!D$2/(extra!B18*Bootstrap!#REF!)</f>
        <v>#REF!</v>
      </c>
      <c r="D18">
        <f>Bootstrap!I$5</f>
        <v>3</v>
      </c>
      <c r="E18">
        <f>Bootstrap!D$12*0.001</f>
        <v>2.7E-2</v>
      </c>
      <c r="F18">
        <v>1.5</v>
      </c>
      <c r="I18">
        <v>7.5</v>
      </c>
      <c r="J18">
        <f>2*10^-3*'Power Dissipation'!D$2*'Power Dissipation'!D$3*'Power Dissipation'!D$4*('Power Dissipation'!D$6/('Power Dissipation'!D$5+'Power Dissipation'!D$6+extra!I18))</f>
        <v>23.610810810810811</v>
      </c>
      <c r="K18">
        <f>2*10^-3*'Power Dissipation'!D$2*'Power Dissipation'!D$3*'Power Dissipation'!D$4*('Power Dissipation'!D$8/('Power Dissipation'!D$5+'Power Dissipation'!D$8+extra!I18))</f>
        <v>20.400000000000002</v>
      </c>
      <c r="L18">
        <f>'Switching Times'!D$3*('Switching Times'!D$4+'Switching Times'!D$5+extra!I18)/'Switching Times'!D$2</f>
        <v>1.7788461538461537</v>
      </c>
      <c r="M18">
        <f>'Switching Times'!D$3*('Switching Times'!D$4+'Switching Times'!D$7+extra!I18)/'Switching Times'!D$2</f>
        <v>1.75</v>
      </c>
    </row>
    <row r="19" spans="2:13" x14ac:dyDescent="0.35">
      <c r="B19">
        <v>8</v>
      </c>
      <c r="C19" t="e">
        <f>Bootstrap!D$2/(extra!B19*Bootstrap!#REF!)</f>
        <v>#REF!</v>
      </c>
      <c r="D19">
        <f>Bootstrap!I$5</f>
        <v>3</v>
      </c>
      <c r="E19">
        <f>Bootstrap!D$12*0.001</f>
        <v>2.7E-2</v>
      </c>
      <c r="F19">
        <v>1.6</v>
      </c>
      <c r="I19">
        <v>8</v>
      </c>
      <c r="J19">
        <f>2*10^-3*'Power Dissipation'!D$2*'Power Dissipation'!D$3*'Power Dissipation'!D$4*('Power Dissipation'!D$6/('Power Dissipation'!D$5+'Power Dissipation'!D$6+extra!I19))</f>
        <v>22.4</v>
      </c>
      <c r="K19">
        <f>2*10^-3*'Power Dissipation'!D$2*'Power Dissipation'!D$3*'Power Dissipation'!D$4*('Power Dissipation'!D$8/('Power Dissipation'!D$5+'Power Dissipation'!D$8+extra!I19))</f>
        <v>19.337500000000002</v>
      </c>
      <c r="L19">
        <f>'Switching Times'!D$3*('Switching Times'!D$4+'Switching Times'!D$5+extra!I19)/'Switching Times'!D$2</f>
        <v>1.875</v>
      </c>
      <c r="M19">
        <f>'Switching Times'!D$3*('Switching Times'!D$4+'Switching Times'!D$7+extra!I19)/'Switching Times'!D$2</f>
        <v>1.8461538461538463</v>
      </c>
    </row>
    <row r="20" spans="2:13" x14ac:dyDescent="0.35">
      <c r="B20">
        <v>8.5</v>
      </c>
      <c r="C20" t="e">
        <f>Bootstrap!D$2/(extra!B20*Bootstrap!#REF!)</f>
        <v>#REF!</v>
      </c>
      <c r="D20">
        <f>Bootstrap!I$5</f>
        <v>3</v>
      </c>
      <c r="E20">
        <f>Bootstrap!D$12*0.001</f>
        <v>2.7E-2</v>
      </c>
      <c r="F20">
        <v>1.7</v>
      </c>
      <c r="I20">
        <v>8.5</v>
      </c>
      <c r="J20">
        <f>2*10^-3*'Power Dissipation'!D$2*'Power Dissipation'!D$3*'Power Dissipation'!D$4*('Power Dissipation'!D$6/('Power Dissipation'!D$5+'Power Dissipation'!D$6+extra!I20))</f>
        <v>21.307317073170733</v>
      </c>
      <c r="K20">
        <f>2*10^-3*'Power Dissipation'!D$2*'Power Dissipation'!D$3*'Power Dissipation'!D$4*('Power Dissipation'!D$8/('Power Dissipation'!D$5+'Power Dissipation'!D$8+extra!I20))</f>
        <v>18.380198019801981</v>
      </c>
      <c r="L20">
        <f>'Switching Times'!D$3*('Switching Times'!D$4+'Switching Times'!D$5+extra!I20)/'Switching Times'!D$2</f>
        <v>1.9711538461538463</v>
      </c>
      <c r="M20">
        <f>'Switching Times'!D$3*('Switching Times'!D$4+'Switching Times'!D$7+extra!I20)/'Switching Times'!D$2</f>
        <v>1.9423076923076923</v>
      </c>
    </row>
    <row r="21" spans="2:13" x14ac:dyDescent="0.35">
      <c r="B21">
        <v>9</v>
      </c>
      <c r="C21" t="e">
        <f>Bootstrap!D$2/(extra!B21*Bootstrap!#REF!)</f>
        <v>#REF!</v>
      </c>
      <c r="D21">
        <f>Bootstrap!I$5</f>
        <v>3</v>
      </c>
      <c r="E21">
        <f>Bootstrap!D$12*0.001</f>
        <v>2.7E-2</v>
      </c>
      <c r="F21">
        <v>1.8</v>
      </c>
      <c r="I21">
        <v>9</v>
      </c>
      <c r="J21">
        <f>2*10^-3*'Power Dissipation'!D$2*'Power Dissipation'!D$3*'Power Dissipation'!D$4*('Power Dissipation'!D$6/('Power Dissipation'!D$5+'Power Dissipation'!D$6+extra!I21))</f>
        <v>20.316279069767443</v>
      </c>
      <c r="K21">
        <f>2*10^-3*'Power Dissipation'!D$2*'Power Dissipation'!D$3*'Power Dissipation'!D$4*('Power Dissipation'!D$8/('Power Dissipation'!D$5+'Power Dissipation'!D$8+extra!I21))</f>
        <v>17.513207547169809</v>
      </c>
      <c r="L21">
        <f>'Switching Times'!D$3*('Switching Times'!D$4+'Switching Times'!D$5+extra!I21)/'Switching Times'!D$2</f>
        <v>2.0673076923076925</v>
      </c>
      <c r="M21">
        <f>'Switching Times'!D$3*('Switching Times'!D$4+'Switching Times'!D$7+extra!I21)/'Switching Times'!D$2</f>
        <v>2.0384615384615383</v>
      </c>
    </row>
    <row r="22" spans="2:13" x14ac:dyDescent="0.35">
      <c r="B22">
        <v>9.5</v>
      </c>
      <c r="C22" t="e">
        <f>Bootstrap!D$2/(extra!B22*Bootstrap!#REF!)</f>
        <v>#REF!</v>
      </c>
      <c r="D22">
        <f>Bootstrap!I$5</f>
        <v>3</v>
      </c>
      <c r="E22">
        <f>Bootstrap!D$12*0.001</f>
        <v>2.7E-2</v>
      </c>
      <c r="F22">
        <v>1.9</v>
      </c>
      <c r="I22">
        <v>9.5</v>
      </c>
      <c r="J22">
        <f>2*10^-3*'Power Dissipation'!D$2*'Power Dissipation'!D$3*'Power Dissipation'!D$4*('Power Dissipation'!D$6/('Power Dissipation'!D$5+'Power Dissipation'!D$6+extra!I22))</f>
        <v>19.413333333333334</v>
      </c>
      <c r="K22">
        <f>2*10^-3*'Power Dissipation'!D$2*'Power Dissipation'!D$3*'Power Dissipation'!D$4*('Power Dissipation'!D$8/('Power Dissipation'!D$5+'Power Dissipation'!D$8+extra!I22))</f>
        <v>16.724324324324325</v>
      </c>
      <c r="L22">
        <f>'Switching Times'!D$3*('Switching Times'!D$4+'Switching Times'!D$5+extra!I22)/'Switching Times'!D$2</f>
        <v>2.1634615384615383</v>
      </c>
      <c r="M22">
        <f>'Switching Times'!D$3*('Switching Times'!D$4+'Switching Times'!D$7+extra!I22)/'Switching Times'!D$2</f>
        <v>2.1346153846153846</v>
      </c>
    </row>
    <row r="23" spans="2:13" x14ac:dyDescent="0.35">
      <c r="B23">
        <v>10</v>
      </c>
      <c r="C23" t="e">
        <f>Bootstrap!D$2/(extra!B23*Bootstrap!#REF!)</f>
        <v>#REF!</v>
      </c>
      <c r="D23">
        <f>Bootstrap!I$5</f>
        <v>3</v>
      </c>
      <c r="E23">
        <f>Bootstrap!D$12*0.001</f>
        <v>2.7E-2</v>
      </c>
      <c r="F23">
        <v>2</v>
      </c>
      <c r="I23">
        <v>10</v>
      </c>
      <c r="J23">
        <f>2*10^-3*'Power Dissipation'!D$2*'Power Dissipation'!D$3*'Power Dissipation'!D$4*('Power Dissipation'!D$6/('Power Dissipation'!D$5+'Power Dissipation'!D$6+extra!I23))</f>
        <v>18.587234042553192</v>
      </c>
      <c r="K23">
        <f>2*10^-3*'Power Dissipation'!D$2*'Power Dissipation'!D$3*'Power Dissipation'!D$4*('Power Dissipation'!D$8/('Power Dissipation'!D$5+'Power Dissipation'!D$8+extra!I23))</f>
        <v>16.00344827586207</v>
      </c>
      <c r="L23">
        <f>'Switching Times'!D$3*('Switching Times'!D$4+'Switching Times'!D$5+extra!I23)/'Switching Times'!D$2</f>
        <v>2.2596153846153846</v>
      </c>
      <c r="M23">
        <f>'Switching Times'!D$3*('Switching Times'!D$4+'Switching Times'!D$7+extra!I23)/'Switching Times'!D$2</f>
        <v>2.2307692307692308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Start Page</vt:lpstr>
      <vt:lpstr>Bootstrap</vt:lpstr>
      <vt:lpstr>Gate Resistance</vt:lpstr>
      <vt:lpstr>Power Dissipation</vt:lpstr>
      <vt:lpstr>Switching Times</vt:lpstr>
      <vt:lpstr>extra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Wacker, Daniel</dc:creator>
  <cp:lastModifiedBy>Wacker, Daniel</cp:lastModifiedBy>
  <dcterms:created xsi:type="dcterms:W3CDTF">2022-02-14T17:03:50Z</dcterms:created>
  <dcterms:modified xsi:type="dcterms:W3CDTF">2022-05-31T16:46:18Z</dcterms:modified>
</cp:coreProperties>
</file>