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1695" yWindow="1635" windowWidth="14805" windowHeight="7410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F28" i="1" l="1"/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H14" i="7"/>
  <c r="G14" i="7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<sst xmlns="http://schemas.openxmlformats.org/spreadsheetml/2006/main" count="540" uniqueCount="266">
  <si>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</si>
  <si>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</si>
  <si>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</si>
  <si>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</si>
  <si>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</si>
  <si>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</si>
  <si>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</si>
  <si>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</si>
  <si>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</si>
  <si>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</si>
  <si>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</si>
  <si>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</si>
  <si>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</si>
  <si>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</si>
  <si>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</si>
  <si>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</si>
  <si>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</si>
  <si>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</si>
  <si>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</si>
  <si>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</si>
  <si>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</si>
  <si>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</si>
  <si>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</si>
  <si>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</si>
  <si>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</si>
  <si>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</si>
  <si>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</si>
  <si>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</si>
  <si>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</si>
  <si>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</si>
  <si>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</si>
  <si>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</si>
  <si>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</si>
  <si>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</si>
  <si>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</si>
  <si>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</si>
  <si>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</si>
  <si>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</si>
  <si>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</si>
  <si>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</si>
  <si>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</si>
  <si>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</si>
  <si>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</si>
  <si>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</si>
  <si>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</si>
  <si>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</si>
  <si>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</si>
  <si>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</si>
  <si>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</si>
  <si>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</si>
  <si>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</si>
  <si>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</si>
  <si>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</si>
  <si>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</si>
  <si>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</si>
  <si>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</si>
  <si>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</si>
  <si>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</si>
  <si>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</si>
  <si>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</si>
  <si>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</si>
  <si>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</si>
  <si>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</si>
  <si>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</si>
  <si>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</si>
  <si>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</si>
  <si>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</si>
  <si>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</si>
  <si>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</si>
  <si>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</si>
  <si>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</si>
  <si>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</si>
  <si>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</si>
  <si>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</si>
  <si>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</si>
  <si>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</si>
  <si>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</si>
  <si>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</si>
  <si>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</si>
  <si>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</si>
  <si>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</si>
  <si>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</si>
  <si>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</si>
  <si>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</si>
  <si>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</si>
  <si>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</si>
  <si>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</si>
  <si>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</si>
  <si>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</si>
  <si>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</si>
  <si>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</si>
  <si>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</si>
  <si>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</si>
  <si>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</si>
  <si>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</si>
  <si>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</si>
  <si>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</si>
  <si>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</si>
  <si>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</si>
  <si>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</si>
  <si>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</si>
  <si>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</si>
  <si>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</si>
  <si>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</si>
  <si>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</si>
  <si>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</si>
  <si>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</si>
  <si>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</si>
  <si>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</si>
  <si>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</si>
  <si>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</si>
  <si>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</si>
  <si>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</si>
  <si>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</si>
  <si>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</si>
  <si>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</si>
  <si>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</si>
  <si>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</si>
  <si>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</si>
  <si>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</si>
  <si>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</si>
  <si>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</si>
  <si>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</si>
  <si>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</si>
  <si>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</si>
  <si>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</si>
  <si>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</si>
  <si>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</si>
  <si>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</si>
  <si>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</si>
  <si>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</si>
  <si>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</si>
  <si>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</si>
  <si>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</si>
  <si>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</si>
  <si>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</si>
  <si>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</si>
  <si>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</si>
  <si>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</si>
  <si>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</si>
  <si>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</si>
  <si>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</si>
  <si>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</si>
  <si>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</si>
  <si>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</si>
  <si>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</si>
  <si>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</si>
  <si>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</si>
  <si>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</si>
  <si>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</si>
  <si>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</si>
  <si>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</si>
  <si>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</si>
  <si>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</si>
  <si>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</si>
  <si>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</si>
  <si>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</si>
  <si>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</si>
  <si>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</si>
  <si>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</si>
  <si>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</si>
  <si>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</si>
  <si>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</si>
  <si>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</si>
  <si>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</si>
  <si>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</si>
  <si>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</si>
  <si>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</si>
  <si>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</si>
  <si>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</si>
  <si>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</si>
  <si>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</si>
  <si>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</si>
  <si>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</si>
  <si>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</si>
  <si>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</si>
  <si>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</si>
  <si>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</si>
  <si>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</si>
  <si>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</si>
  <si>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</si>
  <si>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</si>
  <si>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</si>
  <si>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</si>
  <si>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</si>
  <si>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</si>
  <si>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</si>
  <si>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</si>
  <si>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</si>
  <si>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</si>
  <si>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</si>
  <si>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</si>
  <si>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</si>
  <si>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</si>
  <si>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</si>
  <si>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</si>
  <si>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</si>
  <si>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</si>
  <si>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</si>
  <si>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</si>
  <si>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</si>
  <si>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</si>
  <si>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</si>
  <si>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</si>
  <si>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</si>
  <si>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</si>
  <si>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</si>
  <si>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</si>
  <si>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</si>
  <si>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</si>
  <si>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</si>
  <si>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</si>
  <si>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</si>
  <si>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</si>
  <si>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</si>
  <si>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</si>
  <si>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</si>
  <si>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</si>
  <si>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</si>
  <si>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</si>
  <si>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</si>
  <si>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</si>
  <si>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</si>
  <si>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</si>
  <si>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</si>
  <si>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</si>
  <si>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</si>
  <si>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</si>
  <si>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</si>
  <si>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</si>
  <si>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</si>
  <si>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</si>
  <si>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</si>
  <si>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</si>
  <si>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</si>
  <si>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</si>
  <si>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</si>
  <si>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</si>
  <si>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</si>
  <si>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</si>
  <si>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</si>
  <si>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</si>
  <si>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</si>
  <si>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</si>
  <si>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</si>
  <si>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</si>
  <si>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</si>
  <si>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</si>
  <si>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</si>
  <si>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</si>
  <si>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</si>
  <si>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</si>
  <si>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</si>
  <si>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</si>
  <si>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</si>
  <si>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</si>
  <si>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</si>
  <si>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</si>
  <si>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</si>
  <si>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</si>
  <si>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</si>
  <si>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</si>
  <si>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</si>
  <si>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</si>
  <si>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CSD19536KTT</t>
  </si>
  <si>
    <t>CSD19532Q5B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</si>
</sst>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10</c:v>
                </c:pt>
                <c:pt idx="1">
                  <c:v>3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3.4358215396825091</c:v>
                </c:pt>
                <c:pt idx="1">
                  <c:v>1.0307464619047528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1.0835113084093109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3.2947079835286019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1.0835113084093109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03392"/>
        <c:axId val="84283392"/>
      </c:scatterChart>
      <c:valAx>
        <c:axId val="8420339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84283392"/>
        <c:crossesAt val="0.1"/>
        <c:crossBetween val="midCat"/>
      </c:valAx>
      <c:valAx>
        <c:axId val="8428339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20339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15200"/>
        <c:axId val="100116736"/>
      </c:scatterChart>
      <c:valAx>
        <c:axId val="1001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0116736"/>
        <c:crosses val="autoZero"/>
        <c:crossBetween val="midCat"/>
      </c:valAx>
      <c:valAx>
        <c:axId val="10011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115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45568"/>
        <c:axId val="102055936"/>
      </c:scatterChart>
      <c:valAx>
        <c:axId val="102045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2055936"/>
        <c:crosses val="autoZero"/>
        <c:crossBetween val="midCat"/>
      </c:valAx>
      <c:valAx>
        <c:axId val="10205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020455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10</c:v>
                </c:pt>
                <c:pt idx="1">
                  <c:v>50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3.4358215396825091</c:v>
                </c:pt>
                <c:pt idx="1">
                  <c:v>17.179107698412547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3.7306514628461378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69952"/>
        <c:axId val="115872128"/>
      </c:scatterChart>
      <c:valAx>
        <c:axId val="11586995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5872128"/>
        <c:crossesAt val="0.1"/>
        <c:crossBetween val="midCat"/>
      </c:valAx>
      <c:valAx>
        <c:axId val="11587212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586995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0.48</c:v>
                </c:pt>
                <c:pt idx="3">
                  <c:v>0.48</c:v>
                </c:pt>
                <c:pt idx="4">
                  <c:v>0.48</c:v>
                </c:pt>
                <c:pt idx="5">
                  <c:v>0.48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96704"/>
        <c:axId val="115898624"/>
      </c:scatterChart>
      <c:valAx>
        <c:axId val="115896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898624"/>
        <c:crosses val="autoZero"/>
        <c:crossBetween val="midCat"/>
      </c:valAx>
      <c:valAx>
        <c:axId val="11589862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5896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28.799999999999997</c:v>
                </c:pt>
                <c:pt idx="3">
                  <c:v>14.399999999999999</c:v>
                </c:pt>
                <c:pt idx="4">
                  <c:v>14.399999999999999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59.510000000000005</c:v>
                </c:pt>
                <c:pt idx="4">
                  <c:v>59.52</c:v>
                </c:pt>
                <c:pt idx="5">
                  <c:v>109.01</c:v>
                </c:pt>
                <c:pt idx="6">
                  <c:v>109.02000000000001</c:v>
                </c:pt>
                <c:pt idx="7">
                  <c:v>119.02000000000001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28.799999999999997</c:v>
                </c:pt>
                <c:pt idx="3">
                  <c:v>28.799999999999997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4528"/>
        <c:axId val="98056448"/>
      </c:scatterChart>
      <c:valAx>
        <c:axId val="98054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8056448"/>
        <c:crosses val="autoZero"/>
        <c:crossBetween val="midCat"/>
      </c:valAx>
      <c:valAx>
        <c:axId val="9805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0545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68736"/>
        <c:axId val="98087296"/>
      </c:scatterChart>
      <c:valAx>
        <c:axId val="98068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8087296"/>
        <c:crosses val="autoZero"/>
        <c:crossBetween val="midCat"/>
      </c:valAx>
      <c:valAx>
        <c:axId val="9808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98068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1.0307464619047528</c:v>
                </c:pt>
                <c:pt idx="1">
                  <c:v>0.34358215396825093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49.5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0.48055261921903303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49.5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98016"/>
        <c:axId val="101399936"/>
      </c:scatterChart>
      <c:valAx>
        <c:axId val="101398016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01399936"/>
        <c:crossesAt val="0.1"/>
        <c:crossBetween val="midCat"/>
      </c:valAx>
      <c:valAx>
        <c:axId val="10139993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139801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43.446937333215601</c:v>
                </c:pt>
                <c:pt idx="4" formatCode="0.00">
                  <c:v>29.313354077497294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49280"/>
        <c:axId val="100051200"/>
      </c:scatterChart>
      <c:valAx>
        <c:axId val="10004928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00051200"/>
        <c:crosses val="autoZero"/>
        <c:crossBetween val="midCat"/>
      </c:valAx>
      <c:valAx>
        <c:axId val="100051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00049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24.888888888888889</c:v>
                </c:pt>
                <c:pt idx="3">
                  <c:v>30.934286338579245</c:v>
                </c:pt>
                <c:pt idx="4">
                  <c:v>45.849410355662293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68736"/>
        <c:axId val="101733888"/>
      </c:scatterChart>
      <c:valAx>
        <c:axId val="10006873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01733888"/>
        <c:crosses val="autoZero"/>
        <c:crossBetween val="midCat"/>
      </c:valAx>
      <c:valAx>
        <c:axId val="10173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00068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03520"/>
        <c:axId val="100078336"/>
      </c:scatterChart>
      <c:valAx>
        <c:axId val="1002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0078336"/>
        <c:crosses val="autoZero"/>
        <c:crossBetween val="midCat"/>
      </c:valAx>
      <c:valAx>
        <c:axId val="10007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203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C80" zoomScale="115" zoomScaleNormal="115" workbookViewId="0">
      <selection activeCell="E83" sqref="E83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1344</v>
      </c>
      <c r="F14" s="131">
        <v>1344</v>
      </c>
      <c r="G14" s="23" t="s">
        <v>20</v>
      </c>
    </row>
    <row r="15" spans="2:40" ht="14.45" x14ac:dyDescent="0.3">
      <c r="C15" s="52" t="s">
        <v>19</v>
      </c>
      <c r="D15" s="129">
        <v>38</v>
      </c>
      <c r="E15" s="130">
        <v>48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60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40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28</v>
      </c>
      <c r="F20" s="139">
        <f>F14/D15</f>
        <v>35.368421052631582</v>
      </c>
      <c r="G20" s="23" t="s">
        <v>26</v>
      </c>
    </row>
    <row r="21" spans="3:21" ht="14.45" x14ac:dyDescent="0.3">
      <c r="C21" s="52" t="s">
        <v>28</v>
      </c>
      <c r="D21" s="30"/>
      <c r="E21" s="130">
        <v>28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1.4285714285714286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1</v>
      </c>
      <c r="F23" s="32"/>
      <c r="G23" s="22" t="s">
        <v>30</v>
      </c>
    </row>
    <row r="24" spans="3:21" x14ac:dyDescent="0.25">
      <c r="C24" s="52" t="s">
        <v>32</v>
      </c>
      <c r="D24" s="30"/>
      <c r="E24" s="138">
        <f>Error_Calculation!H2/E23</f>
        <v>40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3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1.5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f>1.5*1.5</f>
        <v>2.25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2.4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4.5999999999999996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23.751056473300039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1.2692535380952472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1.8900840730331403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123.46267690476236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41.12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40.119999999999997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60.45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59.05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1.0835113084093109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3.5585113084093112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60V</v>
      </c>
      <c r="D59" s="102"/>
      <c r="E59" s="146">
        <v>10</v>
      </c>
      <c r="F59" s="102"/>
      <c r="G59" s="101" t="s">
        <v>26</v>
      </c>
    </row>
    <row r="60" spans="1:7" x14ac:dyDescent="0.25">
      <c r="C60" s="52" t="str">
        <f>SOA_Checks!D48</f>
        <v>Q1 Current handling at 10ms and 60V</v>
      </c>
      <c r="D60" s="103"/>
      <c r="E60" s="146">
        <v>3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10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3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3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25">
      <c r="C65" s="52" t="str">
        <f>SOA_Checks!D53</f>
        <v>Q1 Current handling at 1ms and 20.2V</v>
      </c>
      <c r="D65" s="103"/>
      <c r="E65" s="146">
        <v>10</v>
      </c>
      <c r="F65" s="103"/>
      <c r="G65" s="101" t="s">
        <v>26</v>
      </c>
    </row>
    <row r="66" spans="3:21" x14ac:dyDescent="0.25">
      <c r="C66" s="50" t="str">
        <f>SOA_Checks!D54</f>
        <v>Q1 Current handling at 10ms and 20.2V</v>
      </c>
      <c r="D66" s="103"/>
      <c r="E66" s="146">
        <v>50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1.0982359945095339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0.58974306149955746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1.0011512900396522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9.3266286571153448E-2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99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2.4925224327018944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140.00000000000057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2.3549201009251566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22.818181818181817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2.4900000000000002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140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2.37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33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100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22.6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19.175378874876468</v>
      </c>
      <c r="E95" s="46">
        <f>IF(Component_Selection!$D$94="Worst Case", Error_Calculation!E6, Error_Calculation!E20)</f>
        <v>20</v>
      </c>
      <c r="F95" s="46">
        <f>IF(Component_Selection!$D$94="Worst Case", Error_Calculation!F6, Error_Calculation!F20)</f>
        <v>20.824621125123532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40.540494959809841</v>
      </c>
      <c r="E97" s="46">
        <f>IF(Component_Selection!$D$94="Worst Case", Error_Calculation!E8, Error_Calculation!E22)</f>
        <v>41.160642570281119</v>
      </c>
      <c r="F97" s="46">
        <f>IF(Component_Selection!$D$94="Worst Case", Error_Calculation!F8, Error_Calculation!F22)</f>
        <v>41.780790180752398</v>
      </c>
      <c r="G97" s="143" t="s">
        <v>4</v>
      </c>
      <c r="H97" s="53">
        <f t="shared" si="0"/>
        <v>1.5066519173319181E-2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39.420490793215507</v>
      </c>
      <c r="E99" s="46">
        <f>IF(Component_Selection!$D$94="Worst Case", Error_Calculation!E10, Error_Calculation!E24)</f>
        <v>40.160642570281119</v>
      </c>
      <c r="F99" s="46">
        <f>IF(Component_Selection!$D$94="Worst Case", Error_Calculation!F10, Error_Calculation!F24)</f>
        <v>40.900794347346732</v>
      </c>
      <c r="G99" s="143" t="s">
        <v>4</v>
      </c>
      <c r="H99" s="53">
        <f t="shared" si="0"/>
        <v>1.8429779248933759E-2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58.867295517278038</v>
      </c>
      <c r="E100" s="46">
        <f>IF(Component_Selection!$D$94="Worst Case", Error_Calculation!E11, Error_Calculation!E25)</f>
        <v>60.071729957805907</v>
      </c>
      <c r="F100" s="46">
        <f>IF(Component_Selection!$D$94="Worst Case", Error_Calculation!F11, Error_Calculation!F25)</f>
        <v>61.276164398333776</v>
      </c>
      <c r="G100" s="143" t="s">
        <v>4</v>
      </c>
      <c r="H100" s="53">
        <f t="shared" si="0"/>
        <v>2.0049937655763506E-2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1.2319941667679366</v>
      </c>
      <c r="E101" s="46">
        <f>IF(Component_Selection!$D$94="Worst Case", Error_Calculation!E12, Error_Calculation!E26)</f>
        <v>1.4000000000000001</v>
      </c>
      <c r="F101" s="46">
        <f>IF(Component_Selection!$D$94="Worst Case", Error_Calculation!F12, Error_Calculation!F26)</f>
        <v>1.5680058332320639</v>
      </c>
      <c r="G101" s="143" t="s">
        <v>4</v>
      </c>
      <c r="H101" s="53">
        <f t="shared" si="0"/>
        <v>0.12000416659433123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57.299289684045974</v>
      </c>
      <c r="E102" s="46">
        <f>IF(Component_Selection!$D$94="Worst Case", Error_Calculation!E13, Error_Calculation!E27)</f>
        <v>58.671729957805908</v>
      </c>
      <c r="F102" s="46">
        <f>IF(Component_Selection!$D$94="Worst Case", Error_Calculation!F13, Error_Calculation!F27)</f>
        <v>60.044170231565843</v>
      </c>
      <c r="G102" s="143" t="s">
        <v>4</v>
      </c>
      <c r="H102" s="53">
        <f t="shared" si="0"/>
        <v>2.3391849443453135E-2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0.29255400777824031</v>
      </c>
      <c r="E104" s="46">
        <f>IF(Component_Selection!$D$94="Worst Case", Error_Calculation!E15, Error_Calculation!E29)</f>
        <v>0.48</v>
      </c>
      <c r="F104" s="46">
        <f>IF(Component_Selection!$D$94="Worst Case", Error_Calculation!F15, Error_Calculation!F29)</f>
        <v>0.6674459922217596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71.150442477876098</v>
      </c>
      <c r="F108" s="80">
        <f>F15*(F15-Error_Calculation!$N$26)/$E$92</f>
        <v>120.79646017699115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1344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40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x14ac:dyDescent="0.25">
      <c r="B21" s="108" t="s">
        <v>144</v>
      </c>
      <c r="C21" s="109"/>
      <c r="D21" s="110"/>
    </row>
    <row r="22" spans="2:16" x14ac:dyDescent="0.25">
      <c r="B22" s="75" t="s">
        <v>145</v>
      </c>
      <c r="C22" s="74" t="e">
        <f>C20*2*1.2</f>
        <v>#NUM!</v>
      </c>
      <c r="D22" s="106" t="s">
        <v>55</v>
      </c>
    </row>
    <row r="23" spans="2:16" ht="30" x14ac:dyDescent="0.25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3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20</v>
      </c>
      <c r="I5" s="46">
        <f>Component_Selection!E103</f>
        <v>20.2</v>
      </c>
      <c r="O5" t="s">
        <v>180</v>
      </c>
      <c r="P5">
        <f>Component_Selection!F30</f>
        <v>2.4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0.48</v>
      </c>
      <c r="F6" s="52" t="s">
        <v>26</v>
      </c>
      <c r="G6" s="52"/>
      <c r="H6" s="52">
        <f>Component_Selection!E51</f>
        <v>0.4</v>
      </c>
      <c r="I6" s="46">
        <f>Component_Selection!E104</f>
        <v>0.48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33</v>
      </c>
      <c r="F7" s="52" t="s">
        <v>50</v>
      </c>
      <c r="G7" s="52"/>
      <c r="H7" s="52">
        <f>Component_Selection!E78</f>
        <v>39.6</v>
      </c>
      <c r="I7" s="52">
        <f>Component_Selection!E89</f>
        <v>33</v>
      </c>
      <c r="O7" t="s">
        <v>185</v>
      </c>
      <c r="P7">
        <f>Component_Selection!E90</f>
        <v>100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100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100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33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40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3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33</v>
      </c>
      <c r="Q13" t="s">
        <v>50</v>
      </c>
    </row>
    <row r="14" spans="4:26" ht="14.45" x14ac:dyDescent="0.3">
      <c r="O14" t="s">
        <v>159</v>
      </c>
      <c r="P14" s="28">
        <f>E8</f>
        <v>100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0.15037593984962405</v>
      </c>
      <c r="Q19" s="52" t="s">
        <v>163</v>
      </c>
    </row>
    <row r="20" spans="3:18" ht="14.45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0.85851130840931078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1.0835113084093109</v>
      </c>
      <c r="F22" s="52" t="s">
        <v>55</v>
      </c>
      <c r="H22" s="46">
        <f>SOA_Checks!P20+E19</f>
        <v>1.0835113084093109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3.5585113084093112</v>
      </c>
      <c r="F23" s="52" t="s">
        <v>55</v>
      </c>
      <c r="H23" s="46">
        <f>SOA_Checks!P26+E19</f>
        <v>3.5585113084093112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2.4750000000000001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3.3335113084093111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0.48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0.22500000000000001</v>
      </c>
      <c r="D30" t="s">
        <v>198</v>
      </c>
    </row>
    <row r="31" spans="3:18" ht="14.45" x14ac:dyDescent="0.3">
      <c r="C31" s="28">
        <f>E22</f>
        <v>1.0835113084093109</v>
      </c>
      <c r="D31" t="s">
        <v>199</v>
      </c>
    </row>
    <row r="32" spans="3:18" ht="14.45" x14ac:dyDescent="0.3">
      <c r="C32" s="28">
        <f>E23</f>
        <v>3.5585113084093112</v>
      </c>
      <c r="D32" t="s">
        <v>200</v>
      </c>
    </row>
    <row r="33" spans="2:6" ht="14.45" x14ac:dyDescent="0.3">
      <c r="C33" s="28">
        <f>E20</f>
        <v>1.125</v>
      </c>
      <c r="D33" t="s">
        <v>114</v>
      </c>
    </row>
    <row r="34" spans="2:6" ht="14.45" x14ac:dyDescent="0.3">
      <c r="C34">
        <f>Component_Selection!F16*Component_Selection!F15/D27/1000</f>
        <v>99</v>
      </c>
      <c r="D34" t="s">
        <v>107</v>
      </c>
      <c r="E34" t="s">
        <v>225</v>
      </c>
    </row>
    <row r="35" spans="2:6" ht="14.45" x14ac:dyDescent="0.3">
      <c r="C35">
        <f>ROUND(SOA_Checks!C34/2,1)</f>
        <v>49.5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60V</v>
      </c>
      <c r="E47" s="52">
        <f>Component_Selection!E59</f>
        <v>10</v>
      </c>
      <c r="F47" s="52" t="s">
        <v>26</v>
      </c>
    </row>
    <row r="48" spans="2:6" ht="14.45" x14ac:dyDescent="0.3">
      <c r="C48" s="28">
        <f t="shared" ref="C48:C50" si="0">C38</f>
        <v>10</v>
      </c>
      <c r="D48" s="52" t="str">
        <f>"Q1 Current handling at "&amp;C38&amp;"ms and "&amp; E17 &amp;"V"</f>
        <v>Q1 Current handling at 10ms and 60V</v>
      </c>
      <c r="E48" s="52">
        <f>Component_Selection!E60</f>
        <v>3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10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3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3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10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50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=123C)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123.46267690476236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0.34358215396825093</v>
      </c>
      <c r="F60" s="52"/>
    </row>
    <row r="61" spans="3:6" ht="14.45" x14ac:dyDescent="0.3">
      <c r="C61" s="28">
        <f t="shared" ref="C61:D68" si="1">C47</f>
        <v>1</v>
      </c>
      <c r="D61" s="52" t="str">
        <f t="shared" si="1"/>
        <v>Q1 Current handling at 1ms and 60V</v>
      </c>
      <c r="E61" s="46">
        <f t="shared" ref="E61:E68" si="2">E47*$E$60</f>
        <v>3.4358215396825091</v>
      </c>
      <c r="F61" s="52" t="s">
        <v>26</v>
      </c>
    </row>
    <row r="62" spans="3:6" ht="14.45" x14ac:dyDescent="0.3">
      <c r="C62" s="28">
        <f t="shared" si="1"/>
        <v>10</v>
      </c>
      <c r="D62" s="52" t="str">
        <f t="shared" si="1"/>
        <v>Q1 Current handling at 10ms and 60V</v>
      </c>
      <c r="E62" s="46">
        <f t="shared" si="2"/>
        <v>1.0307464619047528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3.4358215396825091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1.0307464619047528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1.0307464619047528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0.34358215396825093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20.2V</v>
      </c>
      <c r="E67" s="46">
        <f t="shared" si="2"/>
        <v>3.4358215396825091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20.2V</v>
      </c>
      <c r="E68" s="46">
        <f t="shared" si="2"/>
        <v>17.179107698412547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=123C)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1.0835113084093109</v>
      </c>
      <c r="D73" s="52" t="str">
        <f>"Short Circuit; Vds = "&amp;E17&amp;"V, t= " &amp;C31 &amp; "ms"</f>
        <v>Short Circuit; Vds = 60V, t= 1.08351130840931ms</v>
      </c>
      <c r="E73" s="46">
        <f>H73*C31^G73*$E$60</f>
        <v>3.2947079835286019</v>
      </c>
      <c r="F73" s="52" t="s">
        <v>26</v>
      </c>
      <c r="G73">
        <f>LN(E47/E48)/LN(C37/C38)</f>
        <v>-0.52287874528033762</v>
      </c>
      <c r="H73">
        <f>E47/C37^G73</f>
        <v>10</v>
      </c>
    </row>
    <row r="74" spans="3:8" ht="14.45" x14ac:dyDescent="0.3">
      <c r="C74" s="28">
        <f>C32</f>
        <v>3.5585113084093112</v>
      </c>
      <c r="D74" s="52" t="str">
        <f>"Short Circuit with resistor; Vds = "&amp;E17&amp;"V, t= " &amp;C32 &amp; "ms"</f>
        <v>Short Circuit with resistor; Vds = 60V, t= 3.55851130840931ms</v>
      </c>
      <c r="E74" s="46">
        <f t="shared" ref="E74" si="3">H74*C32^G74*$E$60</f>
        <v>1.7692291844986725</v>
      </c>
      <c r="F74" s="52" t="s">
        <v>26</v>
      </c>
      <c r="G74">
        <f>LN(E49/E50)/LN(C39/C40)</f>
        <v>-0.52287874528033762</v>
      </c>
      <c r="H74">
        <f>E49/C39^G74</f>
        <v>10</v>
      </c>
    </row>
    <row r="75" spans="3:8" ht="14.45" x14ac:dyDescent="0.3">
      <c r="C75">
        <f>C35</f>
        <v>49.5</v>
      </c>
      <c r="D75" s="52" t="str">
        <f>"Start-up ; Vds = "&amp;E17&amp;"V, t_eq= " &amp;C35 &amp; "ms"</f>
        <v>Start-up ; Vds = 60V, t_eq= 49.5ms</v>
      </c>
      <c r="E75" s="46">
        <f>H75*C35^G75*$E$60</f>
        <v>0.48055261921903303</v>
      </c>
      <c r="F75" s="52" t="s">
        <v>26</v>
      </c>
      <c r="G75">
        <f>LN(E51/E52)/LN(C43/C44)</f>
        <v>-0.47712125471966255</v>
      </c>
      <c r="H75">
        <f>E51/C43^G75</f>
        <v>9.0000000000000018</v>
      </c>
    </row>
    <row r="76" spans="3:8" ht="14.45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3.7306514628461378</v>
      </c>
      <c r="F76" s="52" t="s">
        <v>26</v>
      </c>
      <c r="G76">
        <f>LN(E53/E54)/LN(C41/C42)</f>
        <v>0.69897000433601886</v>
      </c>
      <c r="H76">
        <f>E53/C41^G76</f>
        <v>10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1.0835113084093109</v>
      </c>
      <c r="D80" s="52" t="str">
        <f>D73</f>
        <v>Short Circuit; Vds = 60V, t= 1.08351130840931ms</v>
      </c>
      <c r="E80" s="46">
        <f>E11</f>
        <v>3</v>
      </c>
      <c r="F80" s="52" t="s">
        <v>26</v>
      </c>
    </row>
    <row r="81" spans="3:6" ht="14.45" x14ac:dyDescent="0.3">
      <c r="C81" s="28">
        <f t="shared" ref="C81:D83" si="4">C74</f>
        <v>3.5585113084093112</v>
      </c>
      <c r="D81" s="52" t="str">
        <f t="shared" si="4"/>
        <v>Short Circuit with resistor; Vds = 60V, t= 3.55851130840931ms</v>
      </c>
      <c r="E81" s="46">
        <f>E11</f>
        <v>3</v>
      </c>
      <c r="F81" s="52" t="s">
        <v>26</v>
      </c>
    </row>
    <row r="82" spans="3:6" ht="14.45" x14ac:dyDescent="0.3">
      <c r="C82" s="28">
        <f t="shared" si="4"/>
        <v>49.5</v>
      </c>
      <c r="D82" s="52" t="str">
        <f t="shared" si="4"/>
        <v>Start-up ; Vds = 60V, t_eq= 49.5ms</v>
      </c>
      <c r="E82" s="46">
        <f>E6</f>
        <v>0.48</v>
      </c>
      <c r="F82" s="52" t="s">
        <v>26</v>
      </c>
    </row>
    <row r="83" spans="3:6" x14ac:dyDescent="0.25">
      <c r="C83" s="28">
        <f t="shared" si="4"/>
        <v>1.125</v>
      </c>
      <c r="D83" s="52" t="str">
        <f t="shared" si="4"/>
        <v>Vd = 1.5V; Vds = 20.2V, t_eq= 1.125ms</v>
      </c>
      <c r="E83" s="46">
        <f>E10</f>
        <v>40</v>
      </c>
      <c r="F83" s="52" t="s">
        <v>26</v>
      </c>
    </row>
    <row r="84" spans="3:6" x14ac:dyDescent="0.25">
      <c r="C84" s="28"/>
      <c r="D84" s="52"/>
      <c r="E84" s="46"/>
      <c r="F84" s="52"/>
    </row>
    <row r="85" spans="3:6" x14ac:dyDescent="0.25">
      <c r="D85" s="178" t="s">
        <v>116</v>
      </c>
      <c r="E85" s="178"/>
      <c r="F85" s="178"/>
    </row>
    <row r="86" spans="3:6" x14ac:dyDescent="0.25">
      <c r="D86" s="52" t="str">
        <f>D80</f>
        <v>Short Circuit; Vds = 60V, t= 1.08351130840931ms</v>
      </c>
      <c r="E86" s="46">
        <f>E73/E80</f>
        <v>1.0982359945095339</v>
      </c>
      <c r="F86" s="52"/>
    </row>
    <row r="87" spans="3:6" x14ac:dyDescent="0.25">
      <c r="D87" s="52" t="str">
        <f>D81</f>
        <v>Short Circuit with resistor; Vds = 60V, t= 3.55851130840931ms</v>
      </c>
      <c r="E87" s="46">
        <f>E74/E81</f>
        <v>0.58974306149955746</v>
      </c>
      <c r="F87" s="52"/>
    </row>
    <row r="88" spans="3:6" x14ac:dyDescent="0.25">
      <c r="D88" s="52" t="str">
        <f>D82</f>
        <v>Start-up ; Vds = 60V, t_eq= 49.5ms</v>
      </c>
      <c r="E88" s="46">
        <f>E75/E82</f>
        <v>1.0011512900396522</v>
      </c>
      <c r="F88" s="52"/>
    </row>
    <row r="89" spans="3:6" x14ac:dyDescent="0.25">
      <c r="D89" s="52" t="str">
        <f>D83</f>
        <v>Vd = 1.5V; Vds = 20.2V, t_eq= 1.125ms</v>
      </c>
      <c r="E89" s="46">
        <f>E76/E83</f>
        <v>9.3266286571153448E-2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40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19</v>
      </c>
      <c r="E6" s="28">
        <f>H2/Component_Selection!E83</f>
        <v>20</v>
      </c>
      <c r="F6" s="28">
        <f>E6*(1+H6)</f>
        <v>21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40.460911646586347</v>
      </c>
      <c r="E8" s="28">
        <f>(Component_Selection!E84+Component_Selection!E85)/Component_Selection!E85*Error_Calculation!$N$7</f>
        <v>41.160642570281119</v>
      </c>
      <c r="F8" s="28">
        <f>E8*(1+H8)</f>
        <v>41.860373493975892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39.339911646586344</v>
      </c>
      <c r="E10" s="28">
        <f>E8-E9</f>
        <v>40.160642570281119</v>
      </c>
      <c r="F10" s="28">
        <f>F8-D9</f>
        <v>40.981373493975894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58.750151898734174</v>
      </c>
      <c r="E11" s="28">
        <f>(Component_Selection!E86+Component_Selection!E87)/Component_Selection!E87*Error_Calculation!$N$7</f>
        <v>60.071729957805907</v>
      </c>
      <c r="F11" s="28">
        <f>E11*(1+H11)</f>
        <v>61.39330801687764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1.2306000000000004</v>
      </c>
      <c r="E12" s="28">
        <f>Error_Calculation!$N$9*Component_Selection!E86*0.001</f>
        <v>1.4000000000000001</v>
      </c>
      <c r="F12" s="28">
        <f>E12*(1+H12)</f>
        <v>1.5694000000000001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57.180751898734172</v>
      </c>
      <c r="E13" s="28">
        <f>E11-E12</f>
        <v>58.671729957805908</v>
      </c>
      <c r="F13" s="28">
        <f>F11-D12</f>
        <v>60.162708016877637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0.21599999999999997</v>
      </c>
      <c r="E15" s="28">
        <f>Component_Selection!F16*Error_Calculation!N22/Component_Selection!E89*0.001</f>
        <v>0.48</v>
      </c>
      <c r="F15" s="28">
        <f>E15*(1+H15)</f>
        <v>0.74399999999999999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19.175378874876468</v>
      </c>
      <c r="E20" s="28">
        <f>H2/Component_Selection!E83</f>
        <v>20</v>
      </c>
      <c r="F20" s="28">
        <f>E20*(1+H20)</f>
        <v>20.824621125123532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40.540494959809841</v>
      </c>
      <c r="E22" s="28">
        <f>(Component_Selection!E84+Component_Selection!E85)/Component_Selection!E85*Error_Calculation!$N$7</f>
        <v>41.160642570281119</v>
      </c>
      <c r="F22" s="28">
        <f>E22*(1+H22)</f>
        <v>41.780790180752398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25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25">
      <c r="C24" s="29" t="s">
        <v>59</v>
      </c>
      <c r="D24" s="28">
        <f>D22-F23</f>
        <v>39.420490793215507</v>
      </c>
      <c r="E24" s="28">
        <f>E22-E23</f>
        <v>40.160642570281119</v>
      </c>
      <c r="F24" s="28">
        <f>F22-D23</f>
        <v>40.900794347346732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25">
      <c r="C25" s="29" t="s">
        <v>42</v>
      </c>
      <c r="D25" s="28">
        <f>E25*(1-H25)</f>
        <v>58.867295517278038</v>
      </c>
      <c r="E25" s="28">
        <f>(Component_Selection!E86+Component_Selection!E87)/Component_Selection!E87*Error_Calculation!$N$7</f>
        <v>60.071729957805907</v>
      </c>
      <c r="F25" s="28">
        <f>E25*(1+H25)</f>
        <v>61.276164398333776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25">
      <c r="C26" s="29" t="s">
        <v>72</v>
      </c>
      <c r="D26" s="28">
        <f>E26*(1-H26)</f>
        <v>1.2319941667679366</v>
      </c>
      <c r="E26" s="28">
        <f>Error_Calculation!$N$9*Component_Selection!E86*0.001</f>
        <v>1.4000000000000001</v>
      </c>
      <c r="F26" s="28">
        <f>E26*(1+H26)</f>
        <v>1.5680058332320639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25">
      <c r="C27" s="29" t="s">
        <v>41</v>
      </c>
      <c r="D27" s="28">
        <f>D25-F26</f>
        <v>57.299289684045974</v>
      </c>
      <c r="E27" s="28">
        <f>E25-E26</f>
        <v>58.671729957805908</v>
      </c>
      <c r="F27" s="28">
        <f>F25-D26</f>
        <v>60.044170231565843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25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0.29255400777824031</v>
      </c>
      <c r="E29" s="28">
        <f>Component_Selection!F16*Error_Calculation!N22/Component_Selection!E89*0.001</f>
        <v>0.48</v>
      </c>
      <c r="F29" s="28">
        <f>E29*(1+H29)</f>
        <v>0.6674459922217596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2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2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25">
      <c r="K37" t="s">
        <v>173</v>
      </c>
      <c r="L37">
        <f>SUM(L16:L35)</f>
        <v>164.73573026068942</v>
      </c>
      <c r="M37" t="s">
        <v>176</v>
      </c>
    </row>
    <row r="38" spans="2:13" x14ac:dyDescent="0.2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0.48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0.48</v>
      </c>
      <c r="G9">
        <f>G8</f>
        <v>60</v>
      </c>
      <c r="H9">
        <f t="shared" si="0"/>
        <v>28.799999999999997</v>
      </c>
      <c r="I9">
        <f>H9</f>
        <v>28.799999999999997</v>
      </c>
    </row>
    <row r="10" spans="5:9" x14ac:dyDescent="0.3">
      <c r="E10">
        <f>AVERAGE(E9,E12)</f>
        <v>59.510000000000005</v>
      </c>
      <c r="F10">
        <f>F9</f>
        <v>0.48</v>
      </c>
      <c r="G10">
        <v>30</v>
      </c>
      <c r="H10">
        <f t="shared" si="0"/>
        <v>14.399999999999999</v>
      </c>
      <c r="I10">
        <f>I9</f>
        <v>28.799999999999997</v>
      </c>
    </row>
    <row r="11" spans="5:9" x14ac:dyDescent="0.3">
      <c r="E11">
        <f>E10+0.01</f>
        <v>59.52</v>
      </c>
      <c r="F11">
        <f>F10</f>
        <v>0.48</v>
      </c>
      <c r="G11">
        <f>G10</f>
        <v>30</v>
      </c>
      <c r="H11">
        <f t="shared" si="0"/>
        <v>14.399999999999999</v>
      </c>
      <c r="I11">
        <v>0</v>
      </c>
    </row>
    <row r="12" spans="5:9" x14ac:dyDescent="0.3">
      <c r="E12">
        <f>E9+F3*F2/F12/1000</f>
        <v>109.01</v>
      </c>
      <c r="F12">
        <f>F10</f>
        <v>0.48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109.02000000000001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119.02000000000001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40</v>
      </c>
    </row>
    <row r="20" spans="7:8" x14ac:dyDescent="0.3">
      <c r="G20" s="28">
        <f>SOA_Checks!E5</f>
        <v>20.2</v>
      </c>
      <c r="H20" s="28">
        <f>H19</f>
        <v>40</v>
      </c>
    </row>
    <row r="21" spans="7:8" x14ac:dyDescent="0.3">
      <c r="G21" s="28">
        <f>G20+0.01</f>
        <v>20.21</v>
      </c>
      <c r="H21" s="28">
        <f>SOA_Checks!E11</f>
        <v>3</v>
      </c>
    </row>
    <row r="22" spans="7:8" x14ac:dyDescent="0.3">
      <c r="G22">
        <v>100</v>
      </c>
      <c r="H22" s="28">
        <f>H21</f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1.6500000000000001E-2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33.6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24.888888888888889</v>
      </c>
      <c r="G11" s="28">
        <f>BrownOut!$C$11/E11</f>
        <v>24.888888888888889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24.888888888888889</v>
      </c>
      <c r="G12" s="28">
        <f>BrownOut!$C$11/E12</f>
        <v>24.888888888888889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24.888888888888889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43.446937333215601</v>
      </c>
      <c r="F14">
        <f>IF(D14=E14,G14,IF(E14&gt;D14,0,BrownOut!$C$15))</f>
        <v>0</v>
      </c>
      <c r="G14" s="28">
        <f>BrownOut!$C$11/E14</f>
        <v>30.934286338579245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29.313354077497294</v>
      </c>
      <c r="F15">
        <f>IF(D15=E15,G15,IF(E15&gt;D15,0,BrownOut!$C$15))</f>
        <v>0</v>
      </c>
      <c r="G15" s="28">
        <f>BrownOut!$C$11/E15</f>
        <v>45.849410355662293</v>
      </c>
    </row>
    <row r="16" spans="2:9" x14ac:dyDescent="0.3">
      <c r="C16">
        <f>C15+BrownOut!$C$5/4</f>
        <v>3.26</v>
      </c>
      <c r="D16" s="50">
        <f>BrownOut!$C$4</f>
        <v>10</v>
      </c>
      <c r="E16" s="71" t="e">
        <f>SQRT(E15^2-2*(C16-C15)*BrownOut!$C$11*(1+BrownOut!$C$12)/BrownOut!$C$14)</f>
        <v>#NUM!</v>
      </c>
      <c r="F16" t="e">
        <f>IF(D16=E16,G16,IF(E16&gt;D16,0,BrownOut!$C$15))</f>
        <v>#NUM!</v>
      </c>
      <c r="G16" s="28" t="e">
        <f>BrownOut!$C$11/E16</f>
        <v>#NUM!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25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25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25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25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24.888888888888889</v>
      </c>
      <c r="G23" s="28">
        <f>BrownOut!$C$11/E23</f>
        <v>24.888888888888889</v>
      </c>
    </row>
    <row r="24" spans="2:7" x14ac:dyDescent="0.2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24.888888888888889</v>
      </c>
      <c r="G24" s="28">
        <f>BrownOut!$C$11/E24</f>
        <v>24.888888888888889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2018-08-14T11:17:26Z</dcterms:modified>
</cp:coreProperties>
</file>