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25" yWindow="2190" windowWidth="10005" windowHeight="2055" activeTab="0"/>
  </bookViews>
  <sheets>
    <sheet name="Intro" sheetId="1" r:id="rId1"/>
    <sheet name="Design Equations CCM" sheetId="2" r:id="rId2"/>
    <sheet name="Small Signal" sheetId="3" r:id="rId3"/>
    <sheet name="partdata" sheetId="4" state="hidden" r:id="rId4"/>
    <sheet name="Std. R and C Values" sheetId="5" state="hidden" r:id="rId5"/>
  </sheets>
  <externalReferences>
    <externalReference r:id="rId8"/>
  </externalReferences>
  <definedNames>
    <definedName name="C_f1">'Std. R and C Values'!$K$18</definedName>
    <definedName name="C_f2">'Std. R and C Values'!$K$25</definedName>
    <definedName name="c_s1">'Std. R and C Values'!$J$7</definedName>
    <definedName name="C_s2">'Std. R and C Values'!$J$20</definedName>
    <definedName name="Ccomp">'Design Equations CCM'!$B$155*10^-9</definedName>
    <definedName name="Cin">'Design Equations CCM'!$B$120*10^-6</definedName>
    <definedName name="Cj">'Design Equations CCM'!$B$113*10^-12</definedName>
    <definedName name="Co">'Design Equations CCM'!$B$107*10^-6</definedName>
    <definedName name="Co_derating">'Design Equations CCM'!$B$105</definedName>
    <definedName name="Co_selected">'Design Equations CCM'!$B$106</definedName>
    <definedName name="Coea">'Design Equations CCM'!$B$182*10^-6</definedName>
    <definedName name="Cpole">'Design Equations CCM'!$B$158*10^-12</definedName>
    <definedName name="Css">'Design Equations CCM'!$B$141*10^-9</definedName>
    <definedName name="dI">'Design Equations CCM'!$B$13</definedName>
    <definedName name="Dmax">'Design Equations CCM'!$B$80</definedName>
    <definedName name="dV">'Design Equations CCM'!$B$12</definedName>
    <definedName name="dV_percent">'Design Equations CCM'!$B$11</definedName>
    <definedName name="E12_f">'Std. R and C Values'!$F$22</definedName>
    <definedName name="E12_s">'Std. R and C Values'!$E$11</definedName>
    <definedName name="E24_f">'Std. R and C Values'!$F$47</definedName>
    <definedName name="E24_s">'Std. R and C Values'!$E$24</definedName>
    <definedName name="E48_f">'Std. R and C Values'!$F$96</definedName>
    <definedName name="E48_s">'Std. R and C Values'!$E$49</definedName>
    <definedName name="E6_f">'Std. R and C Values'!$F$9</definedName>
    <definedName name="E6_s">'Std. R and C Values'!$E$4</definedName>
    <definedName name="E96_f">'Std. R and C Values'!$H$99</definedName>
    <definedName name="E96_s">'Std. R and C Values'!$G$4</definedName>
    <definedName name="ESR">'Design Equations CCM'!$B$109</definedName>
    <definedName name="fco">'Design Equations CCM'!$B$150*10^3</definedName>
    <definedName name="fpole">'Design Equations CCM'!$B$146*1000</definedName>
    <definedName name="fsw">'Design Equations CCM'!$B$73*10^3</definedName>
    <definedName name="fsw_max">'Design Equations CCM'!$B$183*1000</definedName>
    <definedName name="fsw_min">'Design Equations CCM'!$B$184*10^3</definedName>
    <definedName name="fzero">'Design Equations CCM'!$B$147*1000</definedName>
    <definedName name="gmea">'Design Equations CCM'!$B$175*10^-6</definedName>
    <definedName name="gmps">'Design Equations CCM'!$B$176</definedName>
    <definedName name="I_1">'Design Equations CCM'!$B$179*10^-6</definedName>
    <definedName name="IB2PH">'Design Equations CCM'!$B$81</definedName>
    <definedName name="Ihys">'Design Equations CCM'!$B$180*10^-6</definedName>
    <definedName name="Ilim">'Design Equations CCM'!$B$185</definedName>
    <definedName name="IOH">'Design Equations CCM'!$B$100</definedName>
    <definedName name="IOL">'Design Equations CCM'!$B$101</definedName>
    <definedName name="Iout">'Design Equations CCM'!$B$14</definedName>
    <definedName name="Iout_min">'Design Equations CCM'!$B$15</definedName>
    <definedName name="Iq">'Design Equations CCM'!$B$186*10^-6</definedName>
    <definedName name="Iripple">'Design Equations CCM'!$B$92</definedName>
    <definedName name="Iss">'Design Equations CCM'!$B$189*10^-6</definedName>
    <definedName name="Kind">'Design Equations CCM'!$B$88</definedName>
    <definedName name="L">'Design Equations CCM'!$B$90*10^-6</definedName>
    <definedName name="_xlnm.Print_Area" localSheetId="4">'Std. R and C Values'!$A$2:$I$46</definedName>
    <definedName name="Rcomp">'Design Equations CCM'!$B$153*1000</definedName>
    <definedName name="Rdc">'Design Equations CCM'!$B$91*10^-3</definedName>
    <definedName name="Rdson">'Design Equations CCM'!$B$188*10^-3</definedName>
    <definedName name="Rdson_est">'Design Equations CCM'!$B$84</definedName>
    <definedName name="Rhs">'Design Equations CCM'!$B$135*1000</definedName>
    <definedName name="Rls">'Design Equations CCM'!$B$133*1000</definedName>
    <definedName name="Rt">'Design Equations CCM'!$B$75*10^3</definedName>
    <definedName name="Ruvlo1">'Design Equations CCM'!$B$125*10^3</definedName>
    <definedName name="Ruvlo2">'Design Equations CCM'!$B$127*10^3</definedName>
    <definedName name="Se">'Design Equations CCM'!$B$177</definedName>
    <definedName name="ton_min">'Design Equations CCM'!$B$187*10^-9</definedName>
    <definedName name="tss">'Design Equations CCM'!$B$139*10^-3</definedName>
    <definedName name="VB2PH">'Design Equations CCM'!$B$83</definedName>
    <definedName name="VBOOT">'Design Equations CCM'!$B$82</definedName>
    <definedName name="Vd">'Design Equations CCM'!$B$112</definedName>
    <definedName name="Vena">'Design Equations CCM'!$B$181</definedName>
    <definedName name="Vin_max">'Design Equations CCM'!$B$7</definedName>
    <definedName name="Vin_min">'Design Equations CCM'!$B$8</definedName>
    <definedName name="Vin_nom">'Design Equations CCM'!$B$6</definedName>
    <definedName name="Vinripple">'Design Equations CCM'!$B$118*10^-3</definedName>
    <definedName name="Vmax_dev">'Design Equations CCM'!$B$174</definedName>
    <definedName name="Vmin_dev">'Design Equations CCM'!$B$173</definedName>
    <definedName name="Vout">'Design Equations CCM'!$B$9</definedName>
    <definedName name="Vout_max">'Design Equations CCM'!$B$85</definedName>
    <definedName name="Voutsc">'Design Equations CCM'!$B$18</definedName>
    <definedName name="Vref">'Design Equations CCM'!$B$178</definedName>
    <definedName name="Vripple">'Design Equations CCM'!$B$10</definedName>
    <definedName name="Vstart">'Design Equations CCM'!$B$16</definedName>
    <definedName name="Vstop">'Design Equations CCM'!$B$17</definedName>
  </definedNames>
  <calcPr fullCalcOnLoad="1"/>
</workbook>
</file>

<file path=xl/comments2.xml><?xml version="1.0" encoding="utf-8"?>
<comments xmlns="http://schemas.openxmlformats.org/spreadsheetml/2006/main">
  <authors>
    <author>Anthony Fagnani</author>
  </authors>
  <commentList>
    <comment ref="D28" authorId="0">
      <text>
        <r>
          <rPr>
            <sz val="8"/>
            <rFont val="Tahoma"/>
            <family val="2"/>
          </rPr>
          <t xml:space="preserve">Saturation current rating should at a minimum be 20% greater than the steady state peak current in the inductor or the typical current limit.
</t>
        </r>
      </text>
    </comment>
    <comment ref="B18" authorId="0">
      <text>
        <r>
          <rPr>
            <sz val="9"/>
            <rFont val="Tahoma"/>
            <family val="2"/>
          </rPr>
          <t>Expected output voltage in a short circuit event.</t>
        </r>
      </text>
    </comment>
    <comment ref="B71" authorId="0">
      <text>
        <r>
          <rPr>
            <sz val="9"/>
            <rFont val="Tahoma"/>
            <family val="2"/>
          </rPr>
          <t>Maximum switching frequency to avoid pulse skipping.</t>
        </r>
      </text>
    </comment>
    <comment ref="B72" authorId="0">
      <text>
        <r>
          <rPr>
            <sz val="9"/>
            <rFont val="Tahoma"/>
            <family val="2"/>
          </rPr>
          <t>Maximum switching frequency for frequency shift protection.</t>
        </r>
      </text>
    </comment>
    <comment ref="B88" authorId="0">
      <text>
        <r>
          <rPr>
            <sz val="9"/>
            <rFont val="Tahoma"/>
            <family val="2"/>
          </rPr>
          <t>Represent inductor current ripple percentage of output current.</t>
        </r>
      </text>
    </comment>
    <comment ref="B100" authorId="0">
      <text>
        <r>
          <rPr>
            <sz val="9"/>
            <rFont val="Tahoma"/>
            <family val="2"/>
          </rPr>
          <t>High load for load transient requirement.</t>
        </r>
      </text>
    </comment>
    <comment ref="B101" authorId="0">
      <text>
        <r>
          <rPr>
            <sz val="9"/>
            <rFont val="Tahoma"/>
            <family val="2"/>
          </rPr>
          <t>Low load for load transient requirement.</t>
        </r>
      </text>
    </comment>
    <comment ref="B105" authorId="0">
      <text>
        <r>
          <rPr>
            <sz val="9"/>
            <rFont val="Tahoma"/>
            <family val="2"/>
          </rPr>
          <t>Ceramic capacitors must be derated based on the DC bias. This is important for compensation calculations.</t>
        </r>
      </text>
    </comment>
    <comment ref="B124" authorId="0">
      <text>
        <r>
          <rPr>
            <sz val="9"/>
            <rFont val="Tahoma"/>
            <family val="2"/>
          </rPr>
          <t>This equation includes any effects of voltage hysteresis on the EN pin. For the TPS54340/60 the extra terms cancel to match equation 38.</t>
        </r>
      </text>
    </comment>
    <comment ref="B156" authorId="0">
      <text>
        <r>
          <rPr>
            <sz val="9"/>
            <rFont val="Tahoma"/>
            <family val="2"/>
          </rPr>
          <t>Cpole value to cancel the ESR zero of the selected output capacitor.</t>
        </r>
      </text>
    </comment>
    <comment ref="B157" authorId="0">
      <text>
        <r>
          <rPr>
            <sz val="9"/>
            <rFont val="Tahoma"/>
            <family val="2"/>
          </rPr>
          <t>Cpole value for high frequency roll off.</t>
        </r>
      </text>
    </comment>
    <comment ref="B120" authorId="0">
      <text>
        <r>
          <rPr>
            <sz val="9"/>
            <rFont val="Tahoma"/>
            <family val="2"/>
          </rPr>
          <t xml:space="preserve">A minimum of 3 µF effective ceramic capacitance is required next to the VIN pin. Some applications will benefit from additional bulk capacitance.
</t>
        </r>
      </text>
    </comment>
  </commentList>
</comments>
</file>

<file path=xl/sharedStrings.xml><?xml version="1.0" encoding="utf-8"?>
<sst xmlns="http://schemas.openxmlformats.org/spreadsheetml/2006/main" count="510" uniqueCount="332">
  <si>
    <t>gmea</t>
  </si>
  <si>
    <t>gmps</t>
  </si>
  <si>
    <t>A/V</t>
  </si>
  <si>
    <t>Vref</t>
  </si>
  <si>
    <t>A</t>
  </si>
  <si>
    <t>V</t>
  </si>
  <si>
    <t>Kind</t>
  </si>
  <si>
    <t>%</t>
  </si>
  <si>
    <t>Resr has to be less than</t>
  </si>
  <si>
    <t>L chosen</t>
  </si>
  <si>
    <t>Icirms (Input rms ripple current)</t>
  </si>
  <si>
    <t>Units</t>
  </si>
  <si>
    <t>Value</t>
  </si>
  <si>
    <t>Vena start</t>
  </si>
  <si>
    <t>Compensation</t>
  </si>
  <si>
    <t>Co chosen</t>
  </si>
  <si>
    <t>CO of error amplifier</t>
  </si>
  <si>
    <t>Rt resistor value chosen</t>
  </si>
  <si>
    <t>Resr chosen</t>
  </si>
  <si>
    <t>fco1</t>
  </si>
  <si>
    <t>fco2</t>
  </si>
  <si>
    <t>kHz</t>
  </si>
  <si>
    <t>Iq non switching</t>
  </si>
  <si>
    <t>ton min</t>
  </si>
  <si>
    <t>Rdc</t>
  </si>
  <si>
    <t>Fm</t>
  </si>
  <si>
    <t>Crossover Frequency Target (fc) lower of fco1 and fco2</t>
  </si>
  <si>
    <t>Calculated Cells</t>
  </si>
  <si>
    <t>Constants Cells</t>
  </si>
  <si>
    <t xml:space="preserve">Icorms (Output rms ripple current) </t>
  </si>
  <si>
    <t>Co has to be greater than Co1</t>
  </si>
  <si>
    <t>Co has to be greater than Co2</t>
  </si>
  <si>
    <t>Co has to be greater than Co3</t>
  </si>
  <si>
    <t>fpole Hz</t>
  </si>
  <si>
    <t>fzero Hz</t>
  </si>
  <si>
    <t>Rcomp</t>
  </si>
  <si>
    <t>Rcomp chosen</t>
  </si>
  <si>
    <t>Ccomp</t>
  </si>
  <si>
    <t>Ccomp chosen</t>
  </si>
  <si>
    <t>Cpole chosen</t>
  </si>
  <si>
    <t>Rhs chosen</t>
  </si>
  <si>
    <t>fsw max range</t>
  </si>
  <si>
    <t>fsw min range</t>
  </si>
  <si>
    <t>fsw skip</t>
  </si>
  <si>
    <t>fsw shift</t>
  </si>
  <si>
    <t>Rhs</t>
  </si>
  <si>
    <t>R</t>
  </si>
  <si>
    <t>freq</t>
  </si>
  <si>
    <t>s=2*pi*freq*i</t>
  </si>
  <si>
    <t>Co</t>
  </si>
  <si>
    <t>Rc</t>
  </si>
  <si>
    <t>Lo</t>
  </si>
  <si>
    <t>Vin</t>
  </si>
  <si>
    <t>Vout</t>
  </si>
  <si>
    <t>wo</t>
  </si>
  <si>
    <t>esr zero</t>
  </si>
  <si>
    <t>Ri</t>
  </si>
  <si>
    <t>fsw</t>
  </si>
  <si>
    <t>Sn</t>
  </si>
  <si>
    <t>Se</t>
  </si>
  <si>
    <t>Aol</t>
  </si>
  <si>
    <t>BW</t>
  </si>
  <si>
    <t>Cpole</t>
  </si>
  <si>
    <t>Gain-dB</t>
  </si>
  <si>
    <t>Phase Degrees</t>
  </si>
  <si>
    <t>CCM Peak CMC complex</t>
  </si>
  <si>
    <t>Compensation Complex</t>
  </si>
  <si>
    <t>Comp Gain</t>
  </si>
  <si>
    <t>Comp Phase</t>
  </si>
  <si>
    <t>Gain Phase</t>
  </si>
  <si>
    <t>Co err amp</t>
  </si>
  <si>
    <t>Ro err amp</t>
  </si>
  <si>
    <t>Hd</t>
  </si>
  <si>
    <t>Ddcm</t>
  </si>
  <si>
    <t>a1</t>
  </si>
  <si>
    <t>a2</t>
  </si>
  <si>
    <t>wz1</t>
  </si>
  <si>
    <t>C1</t>
  </si>
  <si>
    <t>C0</t>
  </si>
  <si>
    <t>D0</t>
  </si>
  <si>
    <t>D1</t>
  </si>
  <si>
    <t>D2</t>
  </si>
  <si>
    <t>CCM Peak DMC complex</t>
  </si>
  <si>
    <t>Overall ccm</t>
  </si>
  <si>
    <t>power stage gain</t>
  </si>
  <si>
    <t>power stage phase</t>
  </si>
  <si>
    <t>overall gain</t>
  </si>
  <si>
    <t>overall phase</t>
  </si>
  <si>
    <t>Overall dcm</t>
  </si>
  <si>
    <t>DCM &gt;= 1</t>
  </si>
  <si>
    <t>Disclaimer:</t>
  </si>
  <si>
    <t>Important:  Analysis Toolpak is needed to run small signal worksheet.   Go to Tools&gt;Add-Ins&gt; select Analysis Toolpak</t>
  </si>
  <si>
    <t>Voutsc</t>
  </si>
  <si>
    <t>Ioutmin</t>
  </si>
  <si>
    <t>Ioutmax</t>
  </si>
  <si>
    <t>Iout (for plot)</t>
  </si>
  <si>
    <t>I1 (Enable current - 50mV)</t>
  </si>
  <si>
    <t>Rhs feedback</t>
  </si>
  <si>
    <t>Rls feedback</t>
  </si>
  <si>
    <t>Resr</t>
  </si>
  <si>
    <t>eq 7</t>
  </si>
  <si>
    <t>eq 8</t>
  </si>
  <si>
    <t>Ruvlo1 chosen</t>
  </si>
  <si>
    <t>Ruvlo2 chosen</t>
  </si>
  <si>
    <t>The calculator provides the small signal gain and phase for the final design</t>
  </si>
  <si>
    <t>Mhos</t>
  </si>
  <si>
    <t>I current limit</t>
  </si>
  <si>
    <t>Co final value based on derating</t>
  </si>
  <si>
    <t>Diode LS</t>
  </si>
  <si>
    <t>IOH</t>
  </si>
  <si>
    <t>IOL</t>
  </si>
  <si>
    <t>Junction Capacitance</t>
  </si>
  <si>
    <t>Vin ripple</t>
  </si>
  <si>
    <t>W</t>
  </si>
  <si>
    <t>Lomin</t>
  </si>
  <si>
    <t>Vout with selected divider</t>
  </si>
  <si>
    <t>VSTOP calc</t>
  </si>
  <si>
    <t>VSTART calc</t>
  </si>
  <si>
    <t>TPS54360</t>
  </si>
  <si>
    <t>See Small Signal sheet for frequency response</t>
  </si>
  <si>
    <t>The calculator includes power stage design in CCM</t>
  </si>
  <si>
    <t>Hide Sheet</t>
  </si>
  <si>
    <t>Std. Resistors</t>
  </si>
  <si>
    <t>Capacitors</t>
  </si>
  <si>
    <t>Enter resistor value</t>
  </si>
  <si>
    <t>E6</t>
  </si>
  <si>
    <t>E96</t>
  </si>
  <si>
    <t>Cap value</t>
  </si>
  <si>
    <t>Closest E6 Value</t>
  </si>
  <si>
    <t>Closest E12 Value</t>
  </si>
  <si>
    <t>C values up to 10nF</t>
  </si>
  <si>
    <t>Closest E24 Value</t>
  </si>
  <si>
    <t>Closest E48 Value</t>
  </si>
  <si>
    <t>Closest E96 Value</t>
  </si>
  <si>
    <t>E12</t>
  </si>
  <si>
    <t>C values greater than 10nF</t>
  </si>
  <si>
    <t>E24</t>
  </si>
  <si>
    <t>E48</t>
  </si>
  <si>
    <t>CIN</t>
  </si>
  <si>
    <t>CBOOT</t>
  </si>
  <si>
    <t>LO</t>
  </si>
  <si>
    <t>RT</t>
  </si>
  <si>
    <t>RUVLO1</t>
  </si>
  <si>
    <t>RUVLO2</t>
  </si>
  <si>
    <t>RHS</t>
  </si>
  <si>
    <t>RLS</t>
  </si>
  <si>
    <t>RCOMP</t>
  </si>
  <si>
    <t>CCOMP</t>
  </si>
  <si>
    <t>CPOLE</t>
  </si>
  <si>
    <t>Rcomp and nearest STD 1% value</t>
  </si>
  <si>
    <t>Ccomp and nearest STD value</t>
  </si>
  <si>
    <t>Cpole1 and nearest STD value</t>
  </si>
  <si>
    <t>Cpole2 and nearest STD value</t>
  </si>
  <si>
    <t>Rhs (top of voltage divider) and nearest STD 1% value</t>
  </si>
  <si>
    <t>Ruvlo1 (top resistor in the voltage divider) and nearest STD 1% value</t>
  </si>
  <si>
    <t>Ruvlo2 (bottom resistor in the voltage divider) and nearest STD 1% value</t>
  </si>
  <si>
    <t>Ω</t>
  </si>
  <si>
    <t>kΩ</t>
  </si>
  <si>
    <t>eq 26</t>
  </si>
  <si>
    <t>eq 27</t>
  </si>
  <si>
    <t>eq 28</t>
  </si>
  <si>
    <t>eq 29</t>
  </si>
  <si>
    <t>eq 34</t>
  </si>
  <si>
    <t>eq 30</t>
  </si>
  <si>
    <t>eq 31</t>
  </si>
  <si>
    <t>eq 32</t>
  </si>
  <si>
    <t>eq 33</t>
  </si>
  <si>
    <t>eq 35</t>
  </si>
  <si>
    <t>eq 36</t>
  </si>
  <si>
    <t>eq 37</t>
  </si>
  <si>
    <t>Cin min (for target Vin ripple)</t>
  </si>
  <si>
    <t>eq 38</t>
  </si>
  <si>
    <t>eq 39</t>
  </si>
  <si>
    <t>rearrange eq38</t>
  </si>
  <si>
    <t>rearrange eq39</t>
  </si>
  <si>
    <t>voltage divider</t>
  </si>
  <si>
    <t>rearrange eq 40</t>
  </si>
  <si>
    <t>eq 40</t>
  </si>
  <si>
    <t>U1</t>
  </si>
  <si>
    <t>I1</t>
  </si>
  <si>
    <t>Ihyst</t>
  </si>
  <si>
    <t>Ihysteresis</t>
  </si>
  <si>
    <t>CO ea</t>
  </si>
  <si>
    <t>fsw max</t>
  </si>
  <si>
    <t>Part Number</t>
  </si>
  <si>
    <t>TPS54340</t>
  </si>
  <si>
    <t>Parts supported</t>
  </si>
  <si>
    <t>Vdev min</t>
  </si>
  <si>
    <t>Vdev max</t>
  </si>
  <si>
    <t>Vmin device</t>
  </si>
  <si>
    <t>Vmax device</t>
  </si>
  <si>
    <t>CO</t>
  </si>
  <si>
    <t>User-input Cells</t>
  </si>
  <si>
    <t>D</t>
  </si>
  <si>
    <t>eq 5</t>
  </si>
  <si>
    <t>eq 45</t>
  </si>
  <si>
    <t>eq 46</t>
  </si>
  <si>
    <t>eq 47</t>
  </si>
  <si>
    <t>eq 48</t>
  </si>
  <si>
    <t>eq 41</t>
  </si>
  <si>
    <t>eq 42</t>
  </si>
  <si>
    <t>eq 43</t>
  </si>
  <si>
    <t>eq 44</t>
  </si>
  <si>
    <t>Note: there is no password to unlock this excel spreadsheet for editing.</t>
  </si>
  <si>
    <t>All worksheets contain yellow user-input cells, light blue calculated cells, and light gray constants cells.</t>
  </si>
  <si>
    <t>C1-C3</t>
  </si>
  <si>
    <t>C6-C7, C9</t>
  </si>
  <si>
    <t>C4</t>
  </si>
  <si>
    <t>L1</t>
  </si>
  <si>
    <t>R3</t>
  </si>
  <si>
    <t>R1</t>
  </si>
  <si>
    <t>R2</t>
  </si>
  <si>
    <t>R5</t>
  </si>
  <si>
    <t>R6</t>
  </si>
  <si>
    <t>R4</t>
  </si>
  <si>
    <t>C5</t>
  </si>
  <si>
    <t>C8</t>
  </si>
  <si>
    <t>PWR Number</t>
  </si>
  <si>
    <t>deg C/W</t>
  </si>
  <si>
    <t>Dmax</t>
  </si>
  <si>
    <t>IB2PH</t>
  </si>
  <si>
    <t>VBOOT</t>
  </si>
  <si>
    <t>VB2PH</t>
  </si>
  <si>
    <t>Vout_max</t>
  </si>
  <si>
    <t>TPS54540</t>
  </si>
  <si>
    <t>TPS54560</t>
  </si>
  <si>
    <t>sec</t>
  </si>
  <si>
    <t>internal ss</t>
  </si>
  <si>
    <t>Rt</t>
  </si>
  <si>
    <t>Iss</t>
  </si>
  <si>
    <t>µF</t>
  </si>
  <si>
    <t>mΩ</t>
  </si>
  <si>
    <t>Rdson</t>
  </si>
  <si>
    <t>Vin nom</t>
  </si>
  <si>
    <t>Vin max</t>
  </si>
  <si>
    <t>Vin min</t>
  </si>
  <si>
    <t>ns</t>
  </si>
  <si>
    <t>µH</t>
  </si>
  <si>
    <t>pF</t>
  </si>
  <si>
    <t>mV</t>
  </si>
  <si>
    <t>nF</t>
  </si>
  <si>
    <t>CSS</t>
  </si>
  <si>
    <t>ms</t>
  </si>
  <si>
    <t>Soft start time</t>
  </si>
  <si>
    <t>Soft start capacitor</t>
  </si>
  <si>
    <t>Selected soft start capacitor</t>
  </si>
  <si>
    <t>µA</t>
  </si>
  <si>
    <t>Ven max</t>
  </si>
  <si>
    <t>VEN max</t>
  </si>
  <si>
    <t>8V</t>
  </si>
  <si>
    <t>n/a</t>
  </si>
  <si>
    <t>Schematic and list of components</t>
  </si>
  <si>
    <t>This product is designed as an aid for customers of Texas Instruments.  No warranties, either express or implied, with respect to this software or its fitness for any particular purpose is made by Texas Instruments or the author.  The software is licensed solely on an "as is" basis.  The entire risk as to its quality and performance is with the user.</t>
  </si>
  <si>
    <t>Selected component values and their minimum ratings</t>
  </si>
  <si>
    <t>Co derating based on Vout bias</t>
  </si>
  <si>
    <t>C1-C3, C10-C11</t>
  </si>
  <si>
    <t>C6-C7, C9, C12</t>
  </si>
  <si>
    <t>Theta JA Board</t>
  </si>
  <si>
    <t>Ta max</t>
  </si>
  <si>
    <t>deg C</t>
  </si>
  <si>
    <t>Pmax IC</t>
  </si>
  <si>
    <t>Device constants</t>
  </si>
  <si>
    <t>Internal soft start time</t>
  </si>
  <si>
    <t>Select UVLO resistors (optional)</t>
  </si>
  <si>
    <t>Set output voltage</t>
  </si>
  <si>
    <t>Select catch diode</t>
  </si>
  <si>
    <t>Select output capacitor(s)</t>
  </si>
  <si>
    <t>Select output inductor</t>
  </si>
  <si>
    <t>Select switching frequency</t>
  </si>
  <si>
    <t>Input power supply specifications</t>
  </si>
  <si>
    <t>Select a device from the dropdown menu</t>
  </si>
  <si>
    <t>eq 4</t>
  </si>
  <si>
    <t>Derate for voltage bias</t>
  </si>
  <si>
    <t>Power stage</t>
  </si>
  <si>
    <t>Compensate error amplifier</t>
  </si>
  <si>
    <t>Select input capacitor(s)</t>
  </si>
  <si>
    <t>Output voltage</t>
  </si>
  <si>
    <t>Output voltage ripple (Vripple, 0.5% default)</t>
  </si>
  <si>
    <t>Transient response voltage change (%)</t>
  </si>
  <si>
    <t>Transient response voltage change (V)</t>
  </si>
  <si>
    <t>Transient response current step</t>
  </si>
  <si>
    <t>Max output current</t>
  </si>
  <si>
    <t>Min output current</t>
  </si>
  <si>
    <t>UVLO start voltage</t>
  </si>
  <si>
    <t>UVLO stop voltage</t>
  </si>
  <si>
    <t>eq 49</t>
  </si>
  <si>
    <t>eq 50</t>
  </si>
  <si>
    <t>eq 51</t>
  </si>
  <si>
    <t>eq 52</t>
  </si>
  <si>
    <t>eq 53</t>
  </si>
  <si>
    <t>Target Vin ripple (0.5% Vin nom default)</t>
  </si>
  <si>
    <t>Cin chosen</t>
  </si>
  <si>
    <t>TPS54360 datasheet equation #</t>
  </si>
  <si>
    <t>Estimate IC power dissipation (assumes 25 deg C ambient)</t>
  </si>
  <si>
    <t>Estimated on time (with Vin max)</t>
  </si>
  <si>
    <t>Iripple (Vin max, Vin nom, Vin min)</t>
  </si>
  <si>
    <t>Ilrms (Vin max, Vin nom, Vin min)</t>
  </si>
  <si>
    <t>Ilpeak  (Vin max, Vin nom, Vin min)</t>
  </si>
  <si>
    <t>Iomin for CCM operation (Vin max, Vin nom, Vin min)</t>
  </si>
  <si>
    <t>Estimated Ipsm threshold (Vin max, Vin nom, Vin min)</t>
  </si>
  <si>
    <t>PD (Vin nom, Vin max, Vin min)</t>
  </si>
  <si>
    <t>Pcond (Vin nom, Vin max, Vin min)</t>
  </si>
  <si>
    <t>Psw (Vin nom, Vin max, Vin min)</t>
  </si>
  <si>
    <t>Pgd (Vin nom, Vin max, Vin min)</t>
  </si>
  <si>
    <t>Pq (Vin nom, Vin max, Vin min)</t>
  </si>
  <si>
    <t>Ptot (Vin nom, Vin max, Vin min)</t>
  </si>
  <si>
    <t>fsw calculated with resistor selected resistor</t>
  </si>
  <si>
    <t>Rt resistor value and nearest STD 1% value</t>
  </si>
  <si>
    <t>Rls (bottom of voltage divider) and nearest STD 1% value</t>
  </si>
  <si>
    <t>Values for plotting</t>
  </si>
  <si>
    <t>From design equations</t>
  </si>
  <si>
    <t>Maximum output voltage for monotonic heavy load startup</t>
  </si>
  <si>
    <t>CIN RD</t>
  </si>
  <si>
    <t>COUT RD</t>
  </si>
  <si>
    <t>TPS54360/TPS54361 Family Design Calculator</t>
  </si>
  <si>
    <t>This tool supports the TPS54360/361 family of 42V and 60V nonsynchronous buck converters</t>
  </si>
  <si>
    <t>This worksheet is designed for use with Microsoft Excel 2002 or later.  It is intended to assist circuit designers in calculations.  Additional worksheets may be added as they are completed.</t>
  </si>
  <si>
    <t>TPS54341</t>
  </si>
  <si>
    <t>TPS54361</t>
  </si>
  <si>
    <t>TPS54541</t>
  </si>
  <si>
    <t>TPS54561</t>
  </si>
  <si>
    <t>42 V 5 A</t>
  </si>
  <si>
    <t>42 V 3.5 A</t>
  </si>
  <si>
    <t>42 V 3.5 A with SS/TR and PWRGD</t>
  </si>
  <si>
    <t>60 V 3.5 A</t>
  </si>
  <si>
    <t>60 V 3.5 A with SS/TR and PWRGD</t>
  </si>
  <si>
    <t>42 V 5 A with SS/TR and PWRGD</t>
  </si>
  <si>
    <t>60 V 5 A</t>
  </si>
  <si>
    <t>60 V 5 A with SS/TR and PWRGD</t>
  </si>
  <si>
    <t>3V</t>
  </si>
  <si>
    <t>TPS54360 and TPS54361 Family Non-Synchronous Buck Converter CCM Design Equations</t>
  </si>
  <si>
    <t>Design Calculator Tool - Rev. E</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</si>
</sst>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00000000"/>
    <numFmt numFmtId="167" formatCode="0.000000000E+00"/>
    <numFmt numFmtId="168" formatCode="0.0"/>
    <numFmt numFmtId="169" formatCode="0.000"/>
    <numFmt numFmtId="170" formatCode="0.000E+00"/>
    <numFmt numFmtId="171" formatCode="0.0000000"/>
    <numFmt numFmtId="172" formatCode="0.000000"/>
    <numFmt numFmtId="173" formatCode="0.00000"/>
    <numFmt numFmtId="174" formatCode="0.0000"/>
    <numFmt numFmtId="175" formatCode="0.0E+00"/>
    <numFmt numFmtId="176" formatCode="0E+00"/>
    <numFmt numFmtId="177" formatCode="0.0000E+00"/>
    <numFmt numFmtId="178" formatCode="0.00000E+00"/>
    <numFmt numFmtId="179" formatCode="[$-409]dddd\,\ mmmm\ dd\,\ yyyy"/>
    <numFmt numFmtId="180" formatCode="[$-409]h:mm:ss\ AM/PM"/>
    <numFmt numFmtId="181" formatCode="##0E+0"/>
    <numFmt numFmtId="182" formatCode="##0.00E+0"/>
    <numFmt numFmtId="183" formatCode="##0.000E+0"/>
    <numFmt numFmtId="184" formatCode="_(* #,##0.000_);_(* \(#,##0.000\);_(* &quot;-&quot;??_);_(@_)"/>
    <numFmt numFmtId="185" formatCode="_(* #,##0.0_);_(* \(#,##0.0\);_(* &quot;-&quot;??_);_(@_)"/>
    <numFmt numFmtId="186" formatCode="_(* #,##0_);_(* \(#,##0\);_(* &quot;-&quot;??_);_(@_)"/>
    <numFmt numFmtId="187" formatCode="##0.0000E+0"/>
  </numFmts>
  <fonts count="66">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0"/>
      <name val="Times New Roman"/>
      <family val="1"/>
    </font>
    <font>
      <sz val="10"/>
      <color indexed="8"/>
      <name val="Arial"/>
      <family val="2"/>
    </font>
    <font>
      <b/>
      <sz val="24"/>
      <name val="Arial"/>
      <family val="2"/>
    </font>
    <font>
      <sz val="16"/>
      <name val="Arial"/>
      <family val="2"/>
    </font>
    <font>
      <b/>
      <sz val="12"/>
      <name val="Arial"/>
      <family val="2"/>
    </font>
    <font>
      <sz val="10"/>
      <color indexed="10"/>
      <name val="Arial"/>
      <family val="2"/>
    </font>
    <font>
      <sz val="10"/>
      <color indexed="9"/>
      <name val="Arial"/>
      <family val="2"/>
    </font>
    <font>
      <b/>
      <sz val="10"/>
      <color indexed="8"/>
      <name val="Arial"/>
      <family val="2"/>
    </font>
    <font>
      <b/>
      <sz val="14"/>
      <color indexed="10"/>
      <name val="Arial"/>
      <family val="2"/>
    </font>
    <font>
      <sz val="14"/>
      <name val="Arial"/>
      <family val="2"/>
    </font>
    <font>
      <b/>
      <sz val="10"/>
      <color indexed="12"/>
      <name val="Arial"/>
      <family val="2"/>
    </font>
    <font>
      <b/>
      <sz val="10"/>
      <color indexed="17"/>
      <name val="Arial"/>
      <family val="2"/>
    </font>
    <font>
      <b/>
      <sz val="10"/>
      <color indexed="9"/>
      <name val="Arial"/>
      <family val="2"/>
    </font>
    <font>
      <b/>
      <sz val="8"/>
      <name val="Arial"/>
      <family val="2"/>
    </font>
    <font>
      <sz val="8"/>
      <name val="Verdana"/>
      <family val="2"/>
    </font>
    <font>
      <b/>
      <sz val="10"/>
      <color indexed="10"/>
      <name val="Arial"/>
      <family val="2"/>
    </font>
    <font>
      <sz val="10"/>
      <color indexed="22"/>
      <name val="Arial"/>
      <family val="2"/>
    </font>
    <font>
      <sz val="8"/>
      <name val="Tahoma"/>
      <family val="2"/>
    </font>
    <font>
      <b/>
      <sz val="11"/>
      <name val="Arial"/>
      <family val="2"/>
    </font>
    <font>
      <b/>
      <i/>
      <sz val="10"/>
      <name val="Arial"/>
      <family val="2"/>
    </font>
    <font>
      <sz val="9"/>
      <name val="Tahoma"/>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sz val="8.4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0"/>
      <name val="Arial"/>
      <family val="2"/>
    </font>
    <font>
      <sz val="10"/>
      <color theme="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34"/>
        <bgColor indexed="64"/>
      </patternFill>
    </fill>
    <fill>
      <patternFill patternType="solid">
        <fgColor indexed="46"/>
        <bgColor indexed="64"/>
      </patternFill>
    </fill>
    <fill>
      <patternFill patternType="solid">
        <fgColor rgb="FF00FFFF"/>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31"/>
        <bgColor indexed="64"/>
      </patternFill>
    </fill>
    <fill>
      <patternFill patternType="solid">
        <fgColor indexed="26"/>
        <bgColor indexed="64"/>
      </patternFill>
    </fill>
    <fill>
      <patternFill patternType="solid">
        <fgColor theme="0" tint="-0.24997000396251678"/>
        <bgColor indexed="64"/>
      </patternFill>
    </fill>
    <fill>
      <patternFill patternType="solid">
        <fgColor rgb="FFFFFF00"/>
        <bgColor indexed="64"/>
      </patternFill>
    </fill>
    <fill>
      <patternFill patternType="solid">
        <fgColor rgb="FF66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thin"/>
      <top style="medium"/>
      <bottom style="medium"/>
    </border>
    <border>
      <left style="thin"/>
      <right style="medium"/>
      <top style="medium"/>
      <bottom style="medium"/>
    </border>
    <border>
      <left style="medium"/>
      <right/>
      <top style="medium"/>
      <bottom style="thin"/>
    </border>
    <border>
      <left/>
      <right style="medium"/>
      <top style="medium"/>
      <bottom style="thin"/>
    </border>
    <border>
      <left style="medium">
        <color indexed="9"/>
      </left>
      <right style="medium">
        <color indexed="9"/>
      </right>
      <top style="medium">
        <color indexed="9"/>
      </top>
      <bottom/>
    </border>
    <border>
      <left style="medium">
        <color indexed="9"/>
      </left>
      <right style="medium">
        <color indexed="9"/>
      </right>
      <top/>
      <bottom/>
    </border>
    <border>
      <left style="medium">
        <color indexed="9"/>
      </left>
      <right style="medium">
        <color indexed="9"/>
      </right>
      <top/>
      <bottom style="medium">
        <color indexed="9"/>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medium">
        <color indexed="9"/>
      </right>
      <top/>
      <bottom/>
    </border>
    <border>
      <left style="medium">
        <color indexed="9"/>
      </left>
      <right/>
      <top/>
      <bottom/>
    </border>
    <border>
      <left style="medium">
        <color indexed="9"/>
      </left>
      <right/>
      <top style="medium">
        <color indexed="9"/>
      </top>
      <bottom/>
    </border>
    <border>
      <left/>
      <right style="medium">
        <color indexed="9"/>
      </right>
      <top style="medium">
        <color indexed="9"/>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3">
    <xf numFmtId="0" fontId="0" fillId="0" borderId="0" xfId="0" applyAlignment="1">
      <alignment/>
    </xf>
    <xf numFmtId="11" fontId="0" fillId="0" borderId="0" xfId="0" applyNumberFormat="1" applyAlignment="1">
      <alignment/>
    </xf>
    <xf numFmtId="0" fontId="2" fillId="0" borderId="0" xfId="0" applyFont="1" applyAlignment="1">
      <alignment/>
    </xf>
    <xf numFmtId="0" fontId="0" fillId="0" borderId="0" xfId="0" applyFill="1" applyAlignment="1">
      <alignment/>
    </xf>
    <xf numFmtId="11" fontId="0" fillId="0" borderId="0" xfId="0" applyNumberFormat="1" applyFill="1" applyAlignment="1">
      <alignment/>
    </xf>
    <xf numFmtId="170" fontId="0" fillId="0" borderId="0" xfId="0" applyNumberFormat="1" applyFill="1" applyAlignment="1">
      <alignment/>
    </xf>
    <xf numFmtId="0" fontId="2" fillId="0" borderId="0" xfId="0" applyFont="1" applyFill="1" applyAlignment="1">
      <alignment/>
    </xf>
    <xf numFmtId="0" fontId="2" fillId="0" borderId="0" xfId="0" applyFont="1" applyAlignment="1">
      <alignment wrapText="1"/>
    </xf>
    <xf numFmtId="0" fontId="0" fillId="0" borderId="0" xfId="0" applyFont="1" applyAlignment="1">
      <alignment/>
    </xf>
    <xf numFmtId="11" fontId="0" fillId="0" borderId="0" xfId="0" applyNumberFormat="1" applyFont="1" applyFill="1" applyAlignment="1">
      <alignment/>
    </xf>
    <xf numFmtId="0" fontId="0" fillId="0" borderId="0" xfId="0" applyNumberFormat="1" applyFill="1" applyAlignment="1">
      <alignment/>
    </xf>
    <xf numFmtId="0" fontId="0" fillId="33" borderId="0" xfId="0" applyFill="1" applyAlignment="1">
      <alignment/>
    </xf>
    <xf numFmtId="169" fontId="0" fillId="34" borderId="0" xfId="0" applyNumberFormat="1" applyFill="1" applyAlignment="1">
      <alignment/>
    </xf>
    <xf numFmtId="174" fontId="0" fillId="34" borderId="0" xfId="0" applyNumberFormat="1" applyFill="1" applyAlignment="1">
      <alignment/>
    </xf>
    <xf numFmtId="2" fontId="0" fillId="34" borderId="0" xfId="0" applyNumberFormat="1" applyFill="1" applyAlignment="1">
      <alignment/>
    </xf>
    <xf numFmtId="11" fontId="0" fillId="34" borderId="0" xfId="0" applyNumberFormat="1" applyFill="1" applyAlignment="1">
      <alignment/>
    </xf>
    <xf numFmtId="11" fontId="0" fillId="35" borderId="0" xfId="0" applyNumberFormat="1" applyFill="1" applyAlignment="1">
      <alignment/>
    </xf>
    <xf numFmtId="0" fontId="0" fillId="35" borderId="0" xfId="0" applyFill="1" applyAlignment="1">
      <alignment/>
    </xf>
    <xf numFmtId="0" fontId="0" fillId="0" borderId="0" xfId="0" applyNumberFormat="1" applyAlignment="1">
      <alignment/>
    </xf>
    <xf numFmtId="0" fontId="0" fillId="34" borderId="0" xfId="0" applyNumberFormat="1" applyFill="1" applyAlignment="1">
      <alignment/>
    </xf>
    <xf numFmtId="1" fontId="0" fillId="34" borderId="0" xfId="0" applyNumberFormat="1" applyFill="1" applyAlignment="1">
      <alignment/>
    </xf>
    <xf numFmtId="0" fontId="0" fillId="0" borderId="0" xfId="0" applyFont="1" applyFill="1" applyAlignment="1">
      <alignment/>
    </xf>
    <xf numFmtId="170" fontId="0" fillId="0" borderId="0" xfId="0" applyNumberFormat="1" applyFont="1" applyFill="1" applyAlignment="1">
      <alignment/>
    </xf>
    <xf numFmtId="1" fontId="0" fillId="0" borderId="0" xfId="0" applyNumberFormat="1" applyAlignment="1">
      <alignment/>
    </xf>
    <xf numFmtId="2" fontId="0" fillId="35" borderId="0" xfId="0" applyNumberFormat="1" applyFill="1" applyAlignment="1">
      <alignment/>
    </xf>
    <xf numFmtId="1" fontId="6" fillId="34" borderId="0" xfId="0" applyNumberFormat="1" applyFont="1" applyFill="1" applyAlignment="1">
      <alignment/>
    </xf>
    <xf numFmtId="2" fontId="0" fillId="0" borderId="0" xfId="0" applyNumberFormat="1" applyFill="1" applyAlignment="1">
      <alignment/>
    </xf>
    <xf numFmtId="0" fontId="0" fillId="34" borderId="0" xfId="0" applyFill="1" applyAlignment="1">
      <alignment/>
    </xf>
    <xf numFmtId="0" fontId="0" fillId="0" borderId="0" xfId="0" applyAlignment="1">
      <alignment horizontal="left"/>
    </xf>
    <xf numFmtId="0" fontId="0" fillId="0" borderId="0" xfId="0" applyAlignment="1">
      <alignment horizontal="center"/>
    </xf>
    <xf numFmtId="0" fontId="0" fillId="33" borderId="0" xfId="0" applyFill="1" applyAlignment="1">
      <alignment horizontal="left"/>
    </xf>
    <xf numFmtId="0" fontId="0" fillId="34" borderId="0" xfId="0" applyFill="1" applyAlignment="1">
      <alignment horizontal="left"/>
    </xf>
    <xf numFmtId="0" fontId="0" fillId="35" borderId="0" xfId="0" applyFill="1" applyAlignment="1">
      <alignment horizontal="left"/>
    </xf>
    <xf numFmtId="0" fontId="0" fillId="36" borderId="10" xfId="0" applyFill="1" applyBorder="1" applyAlignment="1">
      <alignment/>
    </xf>
    <xf numFmtId="0" fontId="0" fillId="36" borderId="11" xfId="0"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36" borderId="0" xfId="0" applyFill="1" applyAlignment="1">
      <alignment/>
    </xf>
    <xf numFmtId="0" fontId="0" fillId="36" borderId="14" xfId="0" applyFill="1" applyBorder="1" applyAlignment="1">
      <alignment/>
    </xf>
    <xf numFmtId="0" fontId="7" fillId="36" borderId="13" xfId="0" applyFont="1" applyFill="1" applyBorder="1" applyAlignment="1">
      <alignment/>
    </xf>
    <xf numFmtId="0" fontId="7" fillId="36" borderId="0" xfId="0" applyFont="1" applyFill="1" applyAlignment="1">
      <alignment/>
    </xf>
    <xf numFmtId="0" fontId="7" fillId="36" borderId="14" xfId="0" applyFont="1" applyFill="1" applyBorder="1" applyAlignment="1">
      <alignment/>
    </xf>
    <xf numFmtId="0" fontId="8" fillId="36" borderId="13" xfId="0" applyFont="1" applyFill="1" applyBorder="1" applyAlignment="1">
      <alignment/>
    </xf>
    <xf numFmtId="0" fontId="8" fillId="36" borderId="0" xfId="0" applyFont="1" applyFill="1" applyAlignment="1">
      <alignment/>
    </xf>
    <xf numFmtId="0" fontId="8" fillId="36" borderId="14" xfId="0" applyFont="1"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0" fillId="36" borderId="23" xfId="0" applyFill="1" applyBorder="1" applyAlignment="1">
      <alignment/>
    </xf>
    <xf numFmtId="0" fontId="0" fillId="36" borderId="24" xfId="0" applyFill="1" applyBorder="1" applyAlignment="1">
      <alignment/>
    </xf>
    <xf numFmtId="0" fontId="0" fillId="36" borderId="25" xfId="0" applyFill="1" applyBorder="1" applyAlignment="1">
      <alignment/>
    </xf>
    <xf numFmtId="168" fontId="0" fillId="0" borderId="0" xfId="0" applyNumberFormat="1" applyAlignment="1">
      <alignment/>
    </xf>
    <xf numFmtId="0" fontId="0" fillId="35" borderId="0" xfId="0" applyNumberFormat="1" applyFill="1" applyAlignment="1">
      <alignment/>
    </xf>
    <xf numFmtId="2" fontId="0" fillId="0" borderId="0" xfId="0" applyNumberFormat="1" applyAlignment="1">
      <alignment/>
    </xf>
    <xf numFmtId="0" fontId="0" fillId="37" borderId="0" xfId="0" applyFill="1" applyAlignment="1">
      <alignment horizontal="left"/>
    </xf>
    <xf numFmtId="0" fontId="0" fillId="37" borderId="0" xfId="0" applyFill="1" applyAlignment="1">
      <alignment horizontal="right"/>
    </xf>
    <xf numFmtId="169" fontId="10" fillId="0" borderId="0" xfId="0" applyNumberFormat="1" applyFont="1" applyFill="1" applyAlignment="1">
      <alignment/>
    </xf>
    <xf numFmtId="168" fontId="0" fillId="0" borderId="0" xfId="0" applyNumberFormat="1" applyAlignment="1">
      <alignment horizontal="center"/>
    </xf>
    <xf numFmtId="0" fontId="0" fillId="37" borderId="0" xfId="0" applyFill="1" applyAlignment="1">
      <alignment/>
    </xf>
    <xf numFmtId="0" fontId="0" fillId="0" borderId="0" xfId="0" applyFont="1" applyAlignment="1">
      <alignment horizontal="left"/>
    </xf>
    <xf numFmtId="0" fontId="2" fillId="0" borderId="0" xfId="0" applyFont="1" applyAlignment="1">
      <alignment horizontal="left"/>
    </xf>
    <xf numFmtId="0" fontId="0" fillId="0" borderId="0" xfId="0" applyFill="1" applyAlignment="1">
      <alignment horizontal="left"/>
    </xf>
    <xf numFmtId="0" fontId="2" fillId="0" borderId="0" xfId="0" applyFont="1" applyFill="1" applyAlignment="1">
      <alignment horizontal="left"/>
    </xf>
    <xf numFmtId="170" fontId="0" fillId="0" borderId="0" xfId="0" applyNumberFormat="1" applyFont="1" applyFill="1" applyAlignment="1">
      <alignment horizontal="left"/>
    </xf>
    <xf numFmtId="0" fontId="0" fillId="0" borderId="0" xfId="0" applyFont="1" applyFill="1" applyAlignment="1">
      <alignment horizontal="left"/>
    </xf>
    <xf numFmtId="11" fontId="0" fillId="0" borderId="0" xfId="0" applyNumberFormat="1" applyFont="1" applyFill="1" applyAlignment="1">
      <alignment horizontal="left"/>
    </xf>
    <xf numFmtId="169" fontId="0" fillId="34" borderId="0" xfId="0" applyNumberFormat="1" applyFill="1" applyAlignment="1">
      <alignment horizontal="right"/>
    </xf>
    <xf numFmtId="11" fontId="0" fillId="37" borderId="0" xfId="0" applyNumberFormat="1" applyFill="1" applyAlignment="1">
      <alignment/>
    </xf>
    <xf numFmtId="2" fontId="0" fillId="37" borderId="0" xfId="0" applyNumberFormat="1" applyFill="1" applyAlignment="1">
      <alignment/>
    </xf>
    <xf numFmtId="0" fontId="0" fillId="0" borderId="0" xfId="0" applyFill="1" applyAlignment="1">
      <alignment horizontal="right"/>
    </xf>
    <xf numFmtId="169" fontId="2" fillId="0" borderId="0" xfId="0" applyNumberFormat="1" applyFont="1" applyFill="1" applyAlignment="1">
      <alignment horizontal="right"/>
    </xf>
    <xf numFmtId="0" fontId="0" fillId="35" borderId="0" xfId="0" applyFill="1" applyAlignment="1">
      <alignment horizontal="right"/>
    </xf>
    <xf numFmtId="0" fontId="11" fillId="0" borderId="0" xfId="0" applyFont="1" applyAlignment="1">
      <alignment horizontal="center"/>
    </xf>
    <xf numFmtId="0" fontId="11" fillId="0" borderId="0" xfId="0" applyFont="1" applyAlignment="1">
      <alignment/>
    </xf>
    <xf numFmtId="0" fontId="0" fillId="0" borderId="0" xfId="0" applyFont="1" applyAlignment="1">
      <alignment horizontal="center" wrapText="1"/>
    </xf>
    <xf numFmtId="0" fontId="2" fillId="0" borderId="0" xfId="0" applyFont="1" applyFill="1" applyAlignment="1">
      <alignment wrapText="1"/>
    </xf>
    <xf numFmtId="169" fontId="0" fillId="0" borderId="0" xfId="0" applyNumberFormat="1" applyFill="1" applyAlignment="1">
      <alignment horizontal="right"/>
    </xf>
    <xf numFmtId="1" fontId="6" fillId="0" borderId="0" xfId="0" applyNumberFormat="1" applyFont="1" applyFill="1" applyAlignment="1">
      <alignment/>
    </xf>
    <xf numFmtId="1" fontId="0" fillId="0" borderId="0" xfId="0" applyNumberFormat="1" applyFill="1" applyAlignment="1">
      <alignment/>
    </xf>
    <xf numFmtId="168" fontId="0" fillId="0" borderId="0" xfId="0" applyNumberFormat="1" applyFill="1" applyAlignment="1">
      <alignment/>
    </xf>
    <xf numFmtId="174" fontId="0" fillId="0" borderId="0" xfId="0" applyNumberFormat="1" applyFill="1" applyAlignment="1">
      <alignment horizontal="right"/>
    </xf>
    <xf numFmtId="169" fontId="0" fillId="0" borderId="0" xfId="0" applyNumberFormat="1" applyFill="1" applyAlignment="1">
      <alignment/>
    </xf>
    <xf numFmtId="169" fontId="0" fillId="0" borderId="0" xfId="0" applyNumberFormat="1" applyFont="1" applyFill="1" applyAlignment="1">
      <alignment/>
    </xf>
    <xf numFmtId="2" fontId="0" fillId="38" borderId="0" xfId="0" applyNumberFormat="1" applyFill="1" applyAlignment="1">
      <alignment/>
    </xf>
    <xf numFmtId="0" fontId="0" fillId="38" borderId="0" xfId="0" applyFill="1" applyAlignment="1">
      <alignment/>
    </xf>
    <xf numFmtId="11" fontId="0" fillId="38" borderId="0" xfId="0" applyNumberFormat="1" applyFill="1" applyAlignment="1">
      <alignment/>
    </xf>
    <xf numFmtId="0" fontId="0" fillId="38" borderId="0" xfId="0" applyFill="1" applyAlignment="1">
      <alignment horizontal="left"/>
    </xf>
    <xf numFmtId="169" fontId="0" fillId="38" borderId="0" xfId="0" applyNumberFormat="1" applyFill="1" applyAlignment="1">
      <alignment/>
    </xf>
    <xf numFmtId="48" fontId="0" fillId="0" borderId="0" xfId="0" applyNumberFormat="1" applyFill="1" applyAlignment="1">
      <alignment/>
    </xf>
    <xf numFmtId="170" fontId="0" fillId="0" borderId="0" xfId="0" applyNumberFormat="1" applyAlignment="1">
      <alignment/>
    </xf>
    <xf numFmtId="0" fontId="13" fillId="39" borderId="0" xfId="59" applyFont="1" applyFill="1" applyProtection="1">
      <alignment/>
      <protection hidden="1"/>
    </xf>
    <xf numFmtId="0" fontId="10" fillId="39" borderId="0" xfId="59" applyFont="1" applyFill="1" applyProtection="1">
      <alignment/>
      <protection hidden="1"/>
    </xf>
    <xf numFmtId="0" fontId="0" fillId="39" borderId="0" xfId="59" applyFont="1" applyFill="1" applyProtection="1">
      <alignment/>
      <protection hidden="1"/>
    </xf>
    <xf numFmtId="0" fontId="0" fillId="39" borderId="0" xfId="59" applyFont="1" applyFill="1" applyBorder="1" applyProtection="1">
      <alignment/>
      <protection hidden="1"/>
    </xf>
    <xf numFmtId="49" fontId="0" fillId="39" borderId="0" xfId="59" applyNumberFormat="1" applyFont="1" applyFill="1" applyBorder="1" applyProtection="1">
      <alignment/>
      <protection hidden="1"/>
    </xf>
    <xf numFmtId="0" fontId="0" fillId="39" borderId="0" xfId="59" applyFont="1" applyFill="1" applyBorder="1">
      <alignment/>
      <protection/>
    </xf>
    <xf numFmtId="0" fontId="0" fillId="39" borderId="0" xfId="59" applyFill="1" applyProtection="1">
      <alignment/>
      <protection hidden="1"/>
    </xf>
    <xf numFmtId="0" fontId="14" fillId="39" borderId="0" xfId="59" applyFont="1" applyFill="1" applyProtection="1">
      <alignment/>
      <protection hidden="1"/>
    </xf>
    <xf numFmtId="0" fontId="13" fillId="39" borderId="0" xfId="59" applyFont="1" applyFill="1" applyBorder="1" applyProtection="1">
      <alignment/>
      <protection hidden="1"/>
    </xf>
    <xf numFmtId="0" fontId="10" fillId="39" borderId="0" xfId="59" applyFont="1" applyFill="1" applyBorder="1" applyProtection="1">
      <alignment/>
      <protection hidden="1"/>
    </xf>
    <xf numFmtId="0" fontId="0" fillId="39" borderId="26" xfId="59" applyFont="1" applyFill="1" applyBorder="1" applyProtection="1">
      <alignment/>
      <protection hidden="1"/>
    </xf>
    <xf numFmtId="0" fontId="15" fillId="40" borderId="27" xfId="59" applyFont="1" applyFill="1" applyBorder="1" applyProtection="1">
      <alignment/>
      <protection hidden="1"/>
    </xf>
    <xf numFmtId="1" fontId="10" fillId="39" borderId="0" xfId="59" applyNumberFormat="1" applyFont="1" applyFill="1" applyBorder="1" applyProtection="1">
      <alignment/>
      <protection hidden="1"/>
    </xf>
    <xf numFmtId="48" fontId="16" fillId="41" borderId="28" xfId="59" applyNumberFormat="1" applyFont="1" applyFill="1" applyBorder="1" applyAlignment="1" applyProtection="1">
      <alignment horizontal="center"/>
      <protection hidden="1"/>
    </xf>
    <xf numFmtId="0" fontId="16" fillId="41" borderId="29" xfId="59" applyFont="1" applyFill="1" applyBorder="1" applyProtection="1">
      <alignment/>
      <protection hidden="1"/>
    </xf>
    <xf numFmtId="0" fontId="12" fillId="42" borderId="30" xfId="59" applyFont="1" applyFill="1" applyBorder="1" applyAlignment="1">
      <alignment horizontal="center" wrapText="1"/>
      <protection/>
    </xf>
    <xf numFmtId="0" fontId="12" fillId="42" borderId="31" xfId="59" applyFont="1" applyFill="1" applyBorder="1" applyAlignment="1">
      <alignment horizontal="center" wrapText="1"/>
      <protection/>
    </xf>
    <xf numFmtId="0" fontId="12" fillId="43" borderId="30" xfId="59" applyFont="1" applyFill="1" applyBorder="1" applyAlignment="1">
      <alignment horizontal="center" wrapText="1"/>
      <protection/>
    </xf>
    <xf numFmtId="0" fontId="12" fillId="43" borderId="32" xfId="59" applyFont="1" applyFill="1" applyBorder="1" applyAlignment="1">
      <alignment horizontal="center" wrapText="1"/>
      <protection/>
    </xf>
    <xf numFmtId="48" fontId="15" fillId="40" borderId="20" xfId="59" applyNumberFormat="1" applyFont="1" applyFill="1" applyBorder="1" applyAlignment="1" applyProtection="1">
      <alignment horizontal="center"/>
      <protection hidden="1"/>
    </xf>
    <xf numFmtId="0" fontId="15" fillId="40" borderId="22" xfId="59" applyFont="1" applyFill="1" applyBorder="1" applyProtection="1">
      <alignment/>
      <protection hidden="1"/>
    </xf>
    <xf numFmtId="0" fontId="0" fillId="39" borderId="33" xfId="59" applyFont="1" applyFill="1" applyBorder="1" applyProtection="1">
      <alignment/>
      <protection hidden="1"/>
    </xf>
    <xf numFmtId="0" fontId="16" fillId="41" borderId="34" xfId="59" applyFont="1" applyFill="1" applyBorder="1" applyProtection="1">
      <alignment/>
      <protection hidden="1"/>
    </xf>
    <xf numFmtId="1" fontId="11" fillId="39" borderId="0" xfId="59" applyNumberFormat="1" applyFont="1" applyFill="1" applyBorder="1" applyProtection="1">
      <alignment/>
      <protection hidden="1"/>
    </xf>
    <xf numFmtId="169" fontId="17" fillId="39" borderId="0" xfId="59" applyNumberFormat="1" applyFont="1" applyFill="1" applyBorder="1" applyAlignment="1" applyProtection="1">
      <alignment horizontal="center"/>
      <protection hidden="1"/>
    </xf>
    <xf numFmtId="2" fontId="11" fillId="39" borderId="0" xfId="59" applyNumberFormat="1" applyFont="1" applyFill="1" applyBorder="1" applyAlignment="1" applyProtection="1">
      <alignment horizontal="center"/>
      <protection hidden="1"/>
    </xf>
    <xf numFmtId="0" fontId="0" fillId="39" borderId="35" xfId="59" applyFont="1" applyFill="1" applyBorder="1" applyProtection="1">
      <alignment/>
      <protection hidden="1"/>
    </xf>
    <xf numFmtId="0" fontId="16" fillId="41" borderId="36" xfId="59" applyFont="1" applyFill="1" applyBorder="1" applyProtection="1">
      <alignment/>
      <protection hidden="1"/>
    </xf>
    <xf numFmtId="0" fontId="18" fillId="39" borderId="0" xfId="59" applyFont="1" applyFill="1" applyBorder="1" applyProtection="1">
      <alignment/>
      <protection hidden="1"/>
    </xf>
    <xf numFmtId="0" fontId="19" fillId="39" borderId="0" xfId="59" applyFont="1" applyFill="1" applyBorder="1" applyAlignment="1" applyProtection="1">
      <alignment horizontal="center" wrapText="1"/>
      <protection hidden="1"/>
    </xf>
    <xf numFmtId="2" fontId="0" fillId="39" borderId="0" xfId="59" applyNumberFormat="1" applyFont="1" applyFill="1" applyBorder="1" applyAlignment="1" applyProtection="1">
      <alignment horizontal="center"/>
      <protection hidden="1"/>
    </xf>
    <xf numFmtId="1" fontId="0" fillId="39" borderId="0" xfId="59" applyNumberFormat="1" applyFont="1" applyFill="1" applyBorder="1" applyProtection="1">
      <alignment/>
      <protection/>
    </xf>
    <xf numFmtId="0" fontId="0" fillId="39" borderId="37" xfId="59" applyFont="1" applyFill="1" applyBorder="1" applyProtection="1">
      <alignment/>
      <protection hidden="1"/>
    </xf>
    <xf numFmtId="0" fontId="16" fillId="41" borderId="38" xfId="59" applyFont="1" applyFill="1" applyBorder="1" applyProtection="1">
      <alignment/>
      <protection hidden="1"/>
    </xf>
    <xf numFmtId="0" fontId="12" fillId="44" borderId="39" xfId="59" applyFont="1" applyFill="1" applyBorder="1" applyAlignment="1">
      <alignment horizontal="center" wrapText="1"/>
      <protection/>
    </xf>
    <xf numFmtId="0" fontId="12" fillId="44" borderId="30" xfId="59" applyFont="1" applyFill="1" applyBorder="1" applyAlignment="1">
      <alignment horizontal="center" wrapText="1"/>
      <protection/>
    </xf>
    <xf numFmtId="0" fontId="12" fillId="44" borderId="31" xfId="59" applyFont="1" applyFill="1" applyBorder="1" applyAlignment="1">
      <alignment horizontal="center" wrapText="1"/>
      <protection/>
    </xf>
    <xf numFmtId="0" fontId="0" fillId="39" borderId="0" xfId="59" applyFont="1" applyFill="1" applyBorder="1" applyAlignment="1" applyProtection="1">
      <alignment horizontal="center"/>
      <protection hidden="1"/>
    </xf>
    <xf numFmtId="0" fontId="0" fillId="39" borderId="0" xfId="59" applyFill="1" applyBorder="1" applyAlignment="1">
      <alignment wrapText="1"/>
      <protection/>
    </xf>
    <xf numFmtId="0" fontId="0" fillId="39" borderId="0" xfId="59" applyFill="1" applyBorder="1" applyAlignment="1">
      <alignment horizontal="center"/>
      <protection/>
    </xf>
    <xf numFmtId="0" fontId="16" fillId="39" borderId="0" xfId="59" applyFont="1" applyFill="1" applyBorder="1" applyProtection="1">
      <alignment/>
      <protection hidden="1"/>
    </xf>
    <xf numFmtId="0" fontId="0" fillId="39" borderId="0" xfId="59" applyFont="1" applyFill="1">
      <alignment/>
      <protection/>
    </xf>
    <xf numFmtId="49" fontId="20" fillId="41" borderId="30" xfId="59" applyNumberFormat="1" applyFont="1" applyFill="1" applyBorder="1" applyAlignment="1">
      <alignment horizontal="center" wrapText="1"/>
      <protection/>
    </xf>
    <xf numFmtId="49" fontId="20" fillId="41" borderId="31" xfId="59" applyNumberFormat="1" applyFont="1" applyFill="1" applyBorder="1" applyAlignment="1">
      <alignment horizontal="center" wrapText="1"/>
      <protection/>
    </xf>
    <xf numFmtId="0" fontId="21" fillId="39" borderId="0" xfId="59" applyFont="1" applyFill="1">
      <alignment/>
      <protection/>
    </xf>
    <xf numFmtId="49" fontId="0" fillId="39" borderId="0" xfId="59" applyNumberFormat="1" applyFill="1" applyBorder="1" applyProtection="1">
      <alignment/>
      <protection/>
    </xf>
    <xf numFmtId="49" fontId="20" fillId="41" borderId="32" xfId="59" applyNumberFormat="1" applyFont="1" applyFill="1" applyBorder="1" applyAlignment="1">
      <alignment horizontal="center" wrapText="1"/>
      <protection/>
    </xf>
    <xf numFmtId="49" fontId="11" fillId="39" borderId="0" xfId="59" applyNumberFormat="1" applyFont="1" applyFill="1" applyBorder="1" applyProtection="1">
      <alignment/>
      <protection hidden="1"/>
    </xf>
    <xf numFmtId="0" fontId="11" fillId="39" borderId="0" xfId="59" applyFont="1" applyFill="1" applyProtection="1">
      <alignment/>
      <protection hidden="1"/>
    </xf>
    <xf numFmtId="0" fontId="11" fillId="39" borderId="0" xfId="59" applyFont="1" applyFill="1" applyBorder="1" applyProtection="1">
      <alignment/>
      <protection hidden="1"/>
    </xf>
    <xf numFmtId="0" fontId="20" fillId="39" borderId="0" xfId="59" applyFont="1" applyFill="1" applyBorder="1" applyAlignment="1" applyProtection="1">
      <alignment horizontal="center" wrapText="1"/>
      <protection hidden="1"/>
    </xf>
    <xf numFmtId="0" fontId="11" fillId="39" borderId="0" xfId="59" applyFont="1" applyFill="1">
      <alignment/>
      <protection/>
    </xf>
    <xf numFmtId="48" fontId="0" fillId="38" borderId="0" xfId="0" applyNumberFormat="1" applyFill="1" applyAlignment="1">
      <alignment horizontal="right"/>
    </xf>
    <xf numFmtId="0" fontId="0" fillId="38" borderId="0" xfId="0" applyFont="1" applyFill="1" applyAlignment="1">
      <alignment horizontal="right"/>
    </xf>
    <xf numFmtId="11" fontId="0" fillId="38" borderId="0" xfId="0" applyNumberFormat="1" applyFont="1" applyFill="1" applyAlignment="1">
      <alignment horizontal="right"/>
    </xf>
    <xf numFmtId="48" fontId="0" fillId="45" borderId="0" xfId="0" applyNumberFormat="1" applyFill="1" applyAlignment="1">
      <alignment horizontal="right"/>
    </xf>
    <xf numFmtId="0" fontId="0" fillId="45" borderId="0" xfId="0" applyFont="1" applyFill="1" applyAlignment="1">
      <alignment horizontal="right"/>
    </xf>
    <xf numFmtId="0" fontId="0" fillId="38" borderId="0" xfId="65" applyNumberFormat="1" applyFont="1" applyFill="1" applyAlignment="1">
      <alignment horizontal="right"/>
    </xf>
    <xf numFmtId="0" fontId="63" fillId="38" borderId="0" xfId="59" applyFont="1" applyFill="1" applyBorder="1" applyProtection="1">
      <alignment/>
      <protection hidden="1"/>
    </xf>
    <xf numFmtId="1" fontId="0" fillId="0" borderId="0" xfId="0" applyNumberFormat="1" applyFont="1" applyAlignment="1">
      <alignment/>
    </xf>
    <xf numFmtId="0" fontId="0" fillId="0" borderId="0" xfId="0" applyFont="1" applyAlignment="1">
      <alignment wrapText="1"/>
    </xf>
    <xf numFmtId="169" fontId="0" fillId="35" borderId="0" xfId="0" applyNumberFormat="1" applyFill="1" applyAlignment="1">
      <alignment/>
    </xf>
    <xf numFmtId="0" fontId="0" fillId="45" borderId="0" xfId="0" applyFont="1" applyFill="1" applyAlignment="1">
      <alignment/>
    </xf>
    <xf numFmtId="48" fontId="0" fillId="38" borderId="0" xfId="0" applyNumberFormat="1" applyFill="1" applyAlignment="1">
      <alignment/>
    </xf>
    <xf numFmtId="1" fontId="0" fillId="38" borderId="0" xfId="0" applyNumberFormat="1" applyFill="1" applyAlignment="1">
      <alignment/>
    </xf>
    <xf numFmtId="0" fontId="23" fillId="0" borderId="0" xfId="0" applyFont="1" applyAlignment="1">
      <alignment wrapText="1"/>
    </xf>
    <xf numFmtId="0" fontId="0" fillId="0" borderId="0" xfId="0" applyAlignment="1">
      <alignment wrapText="1"/>
    </xf>
    <xf numFmtId="0" fontId="0" fillId="0" borderId="0" xfId="0" applyFill="1" applyAlignment="1">
      <alignment wrapText="1"/>
    </xf>
    <xf numFmtId="0" fontId="0" fillId="0" borderId="0" xfId="0" applyFont="1" applyFill="1" applyAlignment="1">
      <alignment wrapText="1"/>
    </xf>
    <xf numFmtId="0" fontId="0" fillId="0" borderId="0" xfId="0" applyFont="1" applyAlignment="1">
      <alignment horizontal="right" wrapText="1"/>
    </xf>
    <xf numFmtId="11" fontId="0" fillId="0" borderId="0" xfId="0" applyNumberFormat="1" applyFont="1" applyAlignment="1">
      <alignment horizontal="right" wrapText="1"/>
    </xf>
    <xf numFmtId="0" fontId="0" fillId="0" borderId="0" xfId="65" applyNumberFormat="1" applyFont="1" applyAlignment="1">
      <alignment horizontal="right" wrapText="1"/>
    </xf>
    <xf numFmtId="0" fontId="24" fillId="0" borderId="0" xfId="0" applyFont="1" applyAlignment="1">
      <alignment wrapText="1"/>
    </xf>
    <xf numFmtId="0" fontId="5" fillId="33" borderId="0" xfId="0" applyFont="1" applyFill="1" applyAlignment="1">
      <alignment horizontal="center" vertical="center"/>
    </xf>
    <xf numFmtId="0" fontId="5" fillId="34" borderId="0" xfId="0" applyFont="1" applyFill="1" applyAlignment="1">
      <alignment horizontal="center" vertical="center"/>
    </xf>
    <xf numFmtId="0" fontId="5" fillId="35" borderId="0" xfId="0" applyFont="1" applyFill="1" applyAlignment="1">
      <alignment horizontal="center" vertical="center"/>
    </xf>
    <xf numFmtId="11" fontId="0" fillId="0" borderId="0" xfId="0" applyNumberFormat="1" applyFont="1" applyAlignment="1">
      <alignment horizontal="right"/>
    </xf>
    <xf numFmtId="0" fontId="0" fillId="0" borderId="0" xfId="0" applyNumberFormat="1" applyFont="1" applyAlignment="1">
      <alignment/>
    </xf>
    <xf numFmtId="0" fontId="0" fillId="33" borderId="0" xfId="0" applyFill="1" applyAlignment="1" applyProtection="1">
      <alignment horizontal="right"/>
      <protection locked="0"/>
    </xf>
    <xf numFmtId="1" fontId="0" fillId="33" borderId="0" xfId="0" applyNumberFormat="1" applyFill="1" applyAlignment="1" applyProtection="1">
      <alignment horizontal="right"/>
      <protection locked="0"/>
    </xf>
    <xf numFmtId="48" fontId="0" fillId="33" borderId="0" xfId="0" applyNumberFormat="1" applyFill="1" applyAlignment="1" applyProtection="1">
      <alignment horizontal="right"/>
      <protection locked="0"/>
    </xf>
    <xf numFmtId="169" fontId="0" fillId="33" borderId="0" xfId="0" applyNumberFormat="1" applyFill="1" applyAlignment="1" applyProtection="1">
      <alignment horizontal="right"/>
      <protection locked="0"/>
    </xf>
    <xf numFmtId="0" fontId="0" fillId="46" borderId="0" xfId="0" applyFont="1" applyFill="1" applyAlignment="1" applyProtection="1">
      <alignment horizontal="center"/>
      <protection locked="0"/>
    </xf>
    <xf numFmtId="0" fontId="0" fillId="33" borderId="0" xfId="0" applyFill="1" applyAlignment="1" applyProtection="1">
      <alignment/>
      <protection locked="0"/>
    </xf>
    <xf numFmtId="168" fontId="0" fillId="33" borderId="0" xfId="0" applyNumberFormat="1" applyFill="1" applyAlignment="1" applyProtection="1">
      <alignment/>
      <protection locked="0"/>
    </xf>
    <xf numFmtId="2" fontId="0" fillId="33" borderId="0" xfId="0" applyNumberFormat="1" applyFill="1" applyAlignment="1" applyProtection="1">
      <alignment/>
      <protection locked="0"/>
    </xf>
    <xf numFmtId="169" fontId="0" fillId="33" borderId="0" xfId="0" applyNumberFormat="1" applyFill="1" applyAlignment="1" applyProtection="1">
      <alignment/>
      <protection locked="0"/>
    </xf>
    <xf numFmtId="1" fontId="0" fillId="33" borderId="0" xfId="0" applyNumberFormat="1" applyFill="1" applyAlignment="1" applyProtection="1">
      <alignment/>
      <protection locked="0"/>
    </xf>
    <xf numFmtId="2" fontId="0" fillId="46" borderId="0" xfId="0" applyNumberFormat="1" applyFill="1" applyAlignment="1" applyProtection="1">
      <alignment/>
      <protection locked="0"/>
    </xf>
    <xf numFmtId="9" fontId="0" fillId="33" borderId="0" xfId="64" applyFont="1" applyFill="1" applyAlignment="1" applyProtection="1">
      <alignment/>
      <protection locked="0"/>
    </xf>
    <xf numFmtId="169" fontId="0" fillId="33" borderId="0" xfId="0" applyNumberFormat="1" applyFont="1" applyFill="1" applyAlignment="1" applyProtection="1">
      <alignment/>
      <protection locked="0"/>
    </xf>
    <xf numFmtId="0" fontId="0" fillId="0" borderId="0" xfId="0" applyFont="1" applyAlignment="1">
      <alignment horizontal="center"/>
    </xf>
    <xf numFmtId="0" fontId="0" fillId="0" borderId="0" xfId="0" applyFont="1" applyFill="1" applyAlignment="1">
      <alignment horizontal="center"/>
    </xf>
    <xf numFmtId="0" fontId="0" fillId="0" borderId="0" xfId="0" applyNumberFormat="1" applyFont="1" applyFill="1" applyAlignment="1">
      <alignment/>
    </xf>
    <xf numFmtId="48" fontId="0" fillId="0" borderId="0" xfId="0" applyNumberFormat="1" applyFont="1" applyFill="1" applyAlignment="1">
      <alignment/>
    </xf>
    <xf numFmtId="0" fontId="0" fillId="0" borderId="0" xfId="57">
      <alignment/>
      <protection/>
    </xf>
    <xf numFmtId="0" fontId="0" fillId="0" borderId="0" xfId="57" applyFill="1">
      <alignment/>
      <protection/>
    </xf>
    <xf numFmtId="2" fontId="0" fillId="0" borderId="0" xfId="57" applyNumberFormat="1" applyFill="1">
      <alignment/>
      <protection/>
    </xf>
    <xf numFmtId="0" fontId="0" fillId="0" borderId="0" xfId="57" applyFill="1" applyAlignment="1">
      <alignment horizontal="left"/>
      <protection/>
    </xf>
    <xf numFmtId="2" fontId="0" fillId="45" borderId="0" xfId="57" applyNumberFormat="1" applyFill="1" applyBorder="1">
      <alignment/>
      <protection/>
    </xf>
    <xf numFmtId="48" fontId="0" fillId="45" borderId="0" xfId="57" applyNumberFormat="1" applyFill="1" applyBorder="1">
      <alignment/>
      <protection/>
    </xf>
    <xf numFmtId="2" fontId="0" fillId="38" borderId="0" xfId="57" applyNumberFormat="1" applyFill="1">
      <alignment/>
      <protection/>
    </xf>
    <xf numFmtId="2" fontId="0" fillId="38" borderId="0" xfId="57" applyNumberFormat="1" applyFill="1">
      <alignment/>
      <protection/>
    </xf>
    <xf numFmtId="0" fontId="2" fillId="0" borderId="0" xfId="0" applyFont="1" applyAlignment="1">
      <alignment horizontal="left" vertical="center"/>
    </xf>
    <xf numFmtId="0" fontId="0" fillId="0" borderId="0" xfId="0" applyFont="1" applyFill="1" applyAlignment="1" applyProtection="1">
      <alignment horizontal="left"/>
      <protection/>
    </xf>
    <xf numFmtId="0" fontId="0" fillId="45" borderId="0" xfId="0" applyFill="1" applyAlignment="1" applyProtection="1">
      <alignment horizontal="right"/>
      <protection/>
    </xf>
    <xf numFmtId="1" fontId="0" fillId="45" borderId="0" xfId="0" applyNumberFormat="1" applyFill="1" applyAlignment="1">
      <alignment/>
    </xf>
    <xf numFmtId="2" fontId="0" fillId="35" borderId="0" xfId="0" applyNumberFormat="1" applyFill="1" applyAlignment="1">
      <alignment horizontal="right"/>
    </xf>
    <xf numFmtId="168" fontId="0" fillId="35" borderId="0" xfId="0" applyNumberFormat="1" applyFill="1" applyAlignment="1">
      <alignment/>
    </xf>
    <xf numFmtId="1" fontId="0" fillId="45" borderId="0" xfId="0" applyNumberFormat="1" applyFill="1" applyAlignment="1" applyProtection="1">
      <alignment horizontal="right"/>
      <protection/>
    </xf>
    <xf numFmtId="1" fontId="0" fillId="35" borderId="0" xfId="0" applyNumberFormat="1" applyFill="1" applyAlignment="1">
      <alignment/>
    </xf>
    <xf numFmtId="168" fontId="0" fillId="45" borderId="0" xfId="0" applyNumberFormat="1" applyFill="1" applyAlignment="1">
      <alignment/>
    </xf>
    <xf numFmtId="168" fontId="0" fillId="45" borderId="0" xfId="0" applyNumberFormat="1" applyFont="1" applyFill="1" applyAlignment="1">
      <alignment/>
    </xf>
    <xf numFmtId="1" fontId="0" fillId="45" borderId="0" xfId="0" applyNumberFormat="1" applyFont="1" applyFill="1" applyAlignment="1">
      <alignment/>
    </xf>
    <xf numFmtId="168" fontId="0" fillId="35" borderId="0" xfId="0" applyNumberFormat="1" applyFill="1" applyAlignment="1">
      <alignment horizontal="right"/>
    </xf>
    <xf numFmtId="1" fontId="0" fillId="35" borderId="0" xfId="0" applyNumberFormat="1" applyFill="1" applyAlignment="1">
      <alignment horizontal="right"/>
    </xf>
    <xf numFmtId="0" fontId="23" fillId="0" borderId="0" xfId="57" applyFont="1">
      <alignment/>
      <protection/>
    </xf>
    <xf numFmtId="168" fontId="0" fillId="34" borderId="0" xfId="0" applyNumberFormat="1" applyFill="1" applyAlignment="1">
      <alignment/>
    </xf>
    <xf numFmtId="0" fontId="0" fillId="0" borderId="0" xfId="0" applyFont="1" applyAlignment="1" applyProtection="1">
      <alignment/>
      <protection/>
    </xf>
    <xf numFmtId="0" fontId="0" fillId="0" borderId="0" xfId="0" applyAlignment="1" applyProtection="1">
      <alignment/>
      <protection/>
    </xf>
    <xf numFmtId="2" fontId="0" fillId="34" borderId="0" xfId="0" applyNumberFormat="1" applyFill="1" applyAlignment="1">
      <alignment horizontal="right"/>
    </xf>
    <xf numFmtId="168" fontId="0" fillId="33" borderId="0" xfId="0" applyNumberFormat="1" applyFont="1" applyFill="1" applyAlignment="1" applyProtection="1">
      <alignment/>
      <protection locked="0"/>
    </xf>
    <xf numFmtId="1" fontId="0" fillId="46" borderId="0" xfId="0" applyNumberFormat="1" applyFont="1" applyFill="1" applyAlignment="1" applyProtection="1">
      <alignment/>
      <protection locked="0"/>
    </xf>
    <xf numFmtId="1" fontId="0" fillId="47" borderId="0" xfId="0" applyNumberFormat="1" applyFill="1" applyAlignment="1">
      <alignment/>
    </xf>
    <xf numFmtId="2" fontId="63" fillId="38" borderId="0" xfId="59" applyNumberFormat="1" applyFont="1" applyFill="1" applyBorder="1" applyProtection="1">
      <alignment/>
      <protection hidden="1"/>
    </xf>
    <xf numFmtId="168" fontId="63" fillId="38" borderId="0" xfId="59" applyNumberFormat="1" applyFont="1" applyFill="1" applyBorder="1" applyProtection="1">
      <alignment/>
      <protection hidden="1"/>
    </xf>
    <xf numFmtId="0" fontId="0" fillId="38" borderId="0" xfId="0" applyFont="1" applyFill="1" applyAlignment="1">
      <alignment/>
    </xf>
    <xf numFmtId="169" fontId="0" fillId="37" borderId="0" xfId="0" applyNumberFormat="1" applyFill="1" applyAlignment="1">
      <alignment/>
    </xf>
    <xf numFmtId="0" fontId="23" fillId="0" borderId="0" xfId="0" applyFont="1" applyAlignment="1">
      <alignment horizontal="right" wrapText="1"/>
    </xf>
    <xf numFmtId="2" fontId="0" fillId="0" borderId="0" xfId="0" applyNumberFormat="1" applyFont="1" applyAlignment="1">
      <alignment/>
    </xf>
    <xf numFmtId="0" fontId="0" fillId="0" borderId="0" xfId="0" applyFont="1" applyAlignment="1">
      <alignment/>
    </xf>
    <xf numFmtId="0" fontId="11" fillId="0" borderId="0" xfId="0" applyFont="1" applyAlignment="1" applyProtection="1">
      <alignment horizontal="center"/>
      <protection hidden="1"/>
    </xf>
    <xf numFmtId="0" fontId="11" fillId="0" borderId="0" xfId="0" applyFont="1" applyAlignment="1" applyProtection="1" quotePrefix="1">
      <alignment horizontal="center"/>
      <protection hidden="1"/>
    </xf>
    <xf numFmtId="0" fontId="11" fillId="0" borderId="0" xfId="0" applyFont="1" applyAlignment="1" applyProtection="1">
      <alignment horizontal="center" wrapText="1"/>
      <protection hidden="1"/>
    </xf>
    <xf numFmtId="0" fontId="11" fillId="0" borderId="0" xfId="0" applyFont="1" applyAlignment="1" applyProtection="1">
      <alignment/>
      <protection hidden="1"/>
    </xf>
    <xf numFmtId="169" fontId="0" fillId="38" borderId="0" xfId="57" applyNumberFormat="1" applyFill="1">
      <alignment/>
      <protection/>
    </xf>
    <xf numFmtId="2" fontId="0" fillId="34" borderId="0" xfId="0" applyNumberFormat="1" applyFont="1" applyFill="1" applyAlignment="1">
      <alignment/>
    </xf>
    <xf numFmtId="2" fontId="0" fillId="34" borderId="0" xfId="0" applyNumberFormat="1" applyFont="1" applyFill="1" applyAlignment="1">
      <alignment horizontal="right"/>
    </xf>
    <xf numFmtId="0" fontId="64" fillId="0" borderId="0" xfId="0" applyFont="1" applyAlignment="1">
      <alignment vertical="center"/>
    </xf>
    <xf numFmtId="0" fontId="65" fillId="0" borderId="0" xfId="0" applyFont="1" applyAlignment="1">
      <alignment horizontal="center"/>
    </xf>
    <xf numFmtId="0" fontId="0" fillId="36" borderId="0" xfId="0" applyFont="1" applyFill="1" applyAlignment="1">
      <alignment horizontal="left" vertical="center" wrapText="1"/>
    </xf>
    <xf numFmtId="0" fontId="0" fillId="36" borderId="0" xfId="0" applyFont="1" applyFill="1" applyAlignment="1">
      <alignment horizontal="left" vertical="top" wrapText="1"/>
    </xf>
    <xf numFmtId="0" fontId="0" fillId="36" borderId="0" xfId="0" applyFont="1" applyFill="1" applyAlignment="1">
      <alignment horizontal="left" vertical="center"/>
    </xf>
    <xf numFmtId="0" fontId="0" fillId="36" borderId="0" xfId="0" applyFill="1" applyAlignment="1">
      <alignment horizontal="left" vertical="center"/>
    </xf>
    <xf numFmtId="0" fontId="0" fillId="33" borderId="0" xfId="0" applyFill="1" applyAlignment="1">
      <alignment horizontal="left" vertical="center"/>
    </xf>
    <xf numFmtId="0" fontId="9" fillId="36" borderId="0" xfId="0" applyFont="1" applyFill="1" applyAlignment="1">
      <alignment horizontal="left" vertical="center"/>
    </xf>
    <xf numFmtId="0" fontId="2" fillId="0" borderId="0" xfId="0" applyFont="1" applyAlignment="1">
      <alignment horizontal="left" vertical="center"/>
    </xf>
    <xf numFmtId="0" fontId="26" fillId="0" borderId="0" xfId="0" applyFont="1" applyAlignment="1">
      <alignment horizontal="center" vertical="center" wrapText="1"/>
    </xf>
    <xf numFmtId="0" fontId="12" fillId="42" borderId="40" xfId="59" applyFont="1" applyFill="1" applyBorder="1" applyAlignment="1">
      <alignment horizontal="center" wrapText="1"/>
      <protection/>
    </xf>
    <xf numFmtId="0" fontId="12" fillId="42" borderId="39" xfId="59" applyFont="1" applyFill="1" applyBorder="1" applyAlignment="1">
      <alignment horizontal="center" wrapText="1"/>
      <protection/>
    </xf>
    <xf numFmtId="0" fontId="12" fillId="43" borderId="41" xfId="59" applyFont="1" applyFill="1" applyBorder="1" applyAlignment="1">
      <alignment horizontal="center" wrapText="1"/>
      <protection/>
    </xf>
    <xf numFmtId="0" fontId="12" fillId="43" borderId="42" xfId="59" applyFont="1" applyFill="1" applyBorder="1" applyAlignment="1">
      <alignment horizontal="center" wrapText="1"/>
      <protection/>
    </xf>
    <xf numFmtId="0" fontId="12" fillId="44" borderId="40" xfId="59" applyFont="1" applyFill="1" applyBorder="1" applyAlignment="1">
      <alignment horizontal="center" wrapText="1"/>
      <protection/>
    </xf>
    <xf numFmtId="0" fontId="12" fillId="44" borderId="39" xfId="59" applyFont="1" applyFill="1" applyBorder="1" applyAlignment="1">
      <alignment horizontal="center" wrapText="1"/>
      <protection/>
    </xf>
    <xf numFmtId="49" fontId="20" fillId="41" borderId="40" xfId="59" applyNumberFormat="1" applyFont="1" applyFill="1" applyBorder="1" applyAlignment="1">
      <alignment horizontal="center" wrapText="1"/>
      <protection/>
    </xf>
    <xf numFmtId="49" fontId="20" fillId="41" borderId="0" xfId="59" applyNumberFormat="1" applyFont="1" applyFill="1" applyBorder="1" applyAlignment="1">
      <alignment horizontal="center" wrapText="1"/>
      <protection/>
    </xf>
    <xf numFmtId="0" fontId="20" fillId="39" borderId="0" xfId="59" applyFont="1" applyFill="1" applyBorder="1" applyAlignment="1" applyProtection="1">
      <alignment horizontal="center" wrapText="1"/>
      <protection hidden="1"/>
    </xf>
    <xf numFmtId="15" fontId="0" fillId="36" borderId="0" xfId="0" applyNumberFormat="1" applyFont="1" applyFill="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3" xfId="66"/>
    <cellStyle name="Percent 4" xfId="67"/>
    <cellStyle name="Percent 5" xfId="68"/>
    <cellStyle name="Title" xfId="69"/>
    <cellStyle name="Total" xfId="70"/>
    <cellStyle name="Warning Text" xfId="7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Frequency Response</a:t>
            </a:r>
          </a:p>
        </c:rich>
      </c:tx>
      <c:layout>
        <c:manualLayout>
          <c:xMode val="factor"/>
          <c:yMode val="factor"/>
          <c:x val="0.00375"/>
          <c:y val="0.00125"/>
        </c:manualLayout>
      </c:layout>
      <c:spPr>
        <a:noFill/>
        <a:ln w="3175">
          <a:noFill/>
        </a:ln>
      </c:spPr>
    </c:title>
    <c:plotArea>
      <c:layout>
        <c:manualLayout>
          <c:xMode val="edge"/>
          <c:yMode val="edge"/>
          <c:x val="0.0285"/>
          <c:y val="0.05325"/>
          <c:w val="0.9245"/>
          <c:h val="0.83675"/>
        </c:manualLayout>
      </c:layout>
      <c:scatterChart>
        <c:scatterStyle val="smoothMarker"/>
        <c:varyColors val="0"/>
        <c:ser>
          <c:idx val="1"/>
          <c:order val="0"/>
          <c:tx>
            <c:v>Power Stage Gain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Signal'!$I$2:$I$212</c:f>
              <c:numCache/>
            </c:numRef>
          </c:yVal>
          <c:smooth val="1"/>
        </c:ser>
        <c:ser>
          <c:idx val="0"/>
          <c:order val="1"/>
          <c:tx>
            <c:v>Compensation Gain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Signal'!$T$2:$T$212</c:f>
              <c:numCache/>
            </c:numRef>
          </c:yVal>
          <c:smooth val="1"/>
        </c:ser>
        <c:ser>
          <c:idx val="2"/>
          <c:order val="2"/>
          <c:tx>
            <c:v>Overall Gain </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Signal'!$K$2:$K$212</c:f>
              <c:numCache/>
            </c:numRef>
          </c:yVal>
          <c:smooth val="1"/>
        </c:ser>
        <c:axId val="24832012"/>
        <c:axId val="22161517"/>
      </c:scatterChart>
      <c:scatterChart>
        <c:scatterStyle val="smoothMarker"/>
        <c:varyColors val="0"/>
        <c:ser>
          <c:idx val="3"/>
          <c:order val="3"/>
          <c:tx>
            <c:v>Power Stage Phase</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Signal'!$J$2:$J$212</c:f>
              <c:numCache/>
            </c:numRef>
          </c:yVal>
          <c:smooth val="1"/>
        </c:ser>
        <c:ser>
          <c:idx val="4"/>
          <c:order val="4"/>
          <c:tx>
            <c:v>Compensation Phase</c:v>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Signal'!$U$2:$U$212</c:f>
              <c:numCache/>
            </c:numRef>
          </c:yVal>
          <c:smooth val="1"/>
        </c:ser>
        <c:ser>
          <c:idx val="5"/>
          <c:order val="5"/>
          <c:tx>
            <c:v>Overall Phase</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'Small Signal'!$G$2:$G$212</c:f>
              <c:numCache/>
            </c:numRef>
          </c:xVal>
          <c:yVal>
            <c:numRef>
              <c:f>'Small Signal'!$L$2:$L$212</c:f>
              <c:numCache/>
            </c:numRef>
          </c:yVal>
          <c:smooth val="1"/>
        </c:ser>
        <c:axId val="65235926"/>
        <c:axId val="50252423"/>
      </c:scatterChart>
      <c:valAx>
        <c:axId val="24832012"/>
        <c:scaling>
          <c:logBase val="10"/>
          <c:orientation val="minMax"/>
          <c:max val="1000000"/>
          <c:min val="10"/>
        </c:scaling>
        <c:axPos val="b"/>
        <c:title>
          <c:tx>
            <c:rich>
              <a:bodyPr vert="horz" rot="0" anchor="ctr"/>
              <a:lstStyle/>
              <a:p>
                <a:pPr algn="ctr">
                  <a:defRPr/>
                </a:pPr>
                <a:r>
                  <a:rPr lang="en-US" cap="none" sz="1000" b="1" i="0" u="none" baseline="0">
                    <a:solidFill>
                      <a:srgbClr val="000000"/>
                    </a:solidFill>
                    <a:latin typeface="Arial"/>
                    <a:ea typeface="Arial"/>
                    <a:cs typeface="Arial"/>
                  </a:rPr>
                  <a:t>Frequency (Hz)</a:t>
                </a:r>
              </a:p>
            </c:rich>
          </c:tx>
          <c:layout>
            <c:manualLayout>
              <c:xMode val="factor"/>
              <c:yMode val="factor"/>
              <c:x val="-0.0055"/>
              <c:y val="0.00025"/>
            </c:manualLayout>
          </c:layout>
          <c:overlay val="0"/>
          <c:spPr>
            <a:noFill/>
            <a:ln w="3175">
              <a:noFill/>
            </a:ln>
          </c:spPr>
        </c:title>
        <c:majorGridlines>
          <c:spPr>
            <a:ln w="3175">
              <a:solidFill>
                <a:srgbClr val="000000"/>
              </a:solidFill>
            </a:ln>
          </c:spPr>
        </c:majorGridlines>
        <c:delete val="1"/>
        <c:majorTickMark val="out"/>
        <c:minorTickMark val="none"/>
        <c:tickLblPos val="nextTo"/>
        <c:crossAx val="22161517"/>
        <c:crossesAt val="0"/>
        <c:crossBetween val="midCat"/>
        <c:dispUnits/>
      </c:valAx>
      <c:valAx>
        <c:axId val="22161517"/>
        <c:scaling>
          <c:orientation val="minMax"/>
          <c:max val="60"/>
          <c:min val="-60"/>
        </c:scaling>
        <c:axPos val="l"/>
        <c:title>
          <c:tx>
            <c:rich>
              <a:bodyPr vert="horz" rot="-5400000" anchor="ctr"/>
              <a:lstStyle/>
              <a:p>
                <a:pPr algn="ctr">
                  <a:defRPr/>
                </a:pPr>
                <a:r>
                  <a:rPr lang="en-US" cap="none" sz="1000" b="1" i="0" u="none" baseline="0">
                    <a:solidFill>
                      <a:srgbClr val="000000"/>
                    </a:solidFill>
                    <a:latin typeface="Arial"/>
                    <a:ea typeface="Arial"/>
                    <a:cs typeface="Arial"/>
                  </a:rPr>
                  <a:t>Gain - dB</a:t>
                </a:r>
              </a:p>
            </c:rich>
          </c:tx>
          <c:layout>
            <c:manualLayout>
              <c:xMode val="factor"/>
              <c:yMode val="factor"/>
              <c:x val="-0.0025"/>
              <c:y val="0.001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4832012"/>
        <c:crosses val="autoZero"/>
        <c:crossBetween val="midCat"/>
        <c:dispUnits/>
        <c:minorUnit val="10"/>
      </c:valAx>
      <c:valAx>
        <c:axId val="65235926"/>
        <c:scaling>
          <c:logBase val="10"/>
          <c:orientation val="minMax"/>
          <c:max val="1000000"/>
          <c:min val="10"/>
        </c:scaling>
        <c:axPos val="b"/>
        <c:minorGridlines>
          <c:spPr>
            <a:ln w="3175">
              <a:solidFill>
                <a:srgbClr val="C0C0C0"/>
              </a:solidFill>
            </a:ln>
          </c:spPr>
        </c:minorGridlines>
        <c:delete val="0"/>
        <c:numFmt formatCode="General" sourceLinked="1"/>
        <c:majorTickMark val="out"/>
        <c:minorTickMark val="none"/>
        <c:tickLblPos val="low"/>
        <c:spPr>
          <a:ln w="3175">
            <a:solidFill>
              <a:srgbClr val="808080"/>
            </a:solidFill>
          </a:ln>
        </c:spPr>
        <c:crossAx val="50252423"/>
        <c:crosses val="max"/>
        <c:crossBetween val="midCat"/>
        <c:dispUnits/>
      </c:valAx>
      <c:valAx>
        <c:axId val="50252423"/>
        <c:scaling>
          <c:orientation val="minMax"/>
          <c:max val="180"/>
          <c:min val="-180"/>
        </c:scaling>
        <c:axPos val="l"/>
        <c:title>
          <c:tx>
            <c:rich>
              <a:bodyPr vert="horz" rot="-5400000" anchor="ctr"/>
              <a:lstStyle/>
              <a:p>
                <a:pPr algn="ctr">
                  <a:defRPr/>
                </a:pPr>
                <a:r>
                  <a:rPr lang="en-US" cap="none" sz="1000" b="1" i="0" u="none" baseline="0">
                    <a:solidFill>
                      <a:srgbClr val="000000"/>
                    </a:solidFill>
                    <a:latin typeface="Arial"/>
                    <a:ea typeface="Arial"/>
                    <a:cs typeface="Arial"/>
                  </a:rPr>
                  <a:t>Phase - deg</a:t>
                </a:r>
              </a:p>
            </c:rich>
          </c:tx>
          <c:layout>
            <c:manualLayout>
              <c:xMode val="factor"/>
              <c:yMode val="factor"/>
              <c:x val="-0.005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235926"/>
        <c:crosses val="max"/>
        <c:crossBetween val="midCat"/>
        <c:dispUnits/>
        <c:majorUnit val="60"/>
      </c:valAx>
      <c:spPr>
        <a:noFill/>
        <a:ln w="12700">
          <a:solidFill>
            <a:srgbClr val="808080"/>
          </a:solidFill>
        </a:ln>
      </c:spPr>
    </c:plotArea>
    <c:legend>
      <c:legendPos val="b"/>
      <c:layout>
        <c:manualLayout>
          <c:xMode val="edge"/>
          <c:yMode val="edge"/>
          <c:x val="0.0385"/>
          <c:y val="0.93025"/>
          <c:w val="0.90675"/>
          <c:h val="0.030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15</xdr:col>
      <xdr:colOff>276225</xdr:colOff>
      <xdr:row>46</xdr:row>
      <xdr:rowOff>28575</xdr:rowOff>
    </xdr:to>
    <xdr:graphicFrame>
      <xdr:nvGraphicFramePr>
        <xdr:cNvPr id="1" name="Chart 1"/>
        <xdr:cNvGraphicFramePr/>
      </xdr:nvGraphicFramePr>
      <xdr:xfrm>
        <a:off x="2381250" y="323850"/>
        <a:ext cx="10201275" cy="7315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alysis\FUNCRES.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N29"/>
  <sheetViews>
    <sheetView tabSelected="1" zoomScalePageLayoutView="0" workbookViewId="0" topLeftCell="A1">
      <selection activeCell="C6" sqref="C6"/>
    </sheetView>
  </sheetViews>
  <sheetFormatPr defaultColWidth="9.140625" defaultRowHeight="12.75"/>
  <cols>
    <col min="1" max="1" width="4.00390625" style="0" customWidth="1"/>
  </cols>
  <sheetData>
    <row r="2" ht="13.5" thickBot="1"/>
    <row r="3" spans="2:14" ht="13.5" thickTop="1">
      <c r="B3" s="33"/>
      <c r="C3" s="34"/>
      <c r="D3" s="34"/>
      <c r="E3" s="34"/>
      <c r="F3" s="34"/>
      <c r="G3" s="34"/>
      <c r="H3" s="34"/>
      <c r="I3" s="34"/>
      <c r="J3" s="34"/>
      <c r="K3" s="34"/>
      <c r="L3" s="34"/>
      <c r="M3" s="34"/>
      <c r="N3" s="35"/>
    </row>
    <row r="4" spans="2:14" ht="12.75">
      <c r="B4" s="36"/>
      <c r="C4" s="37"/>
      <c r="D4" s="37"/>
      <c r="E4" s="37"/>
      <c r="F4" s="37"/>
      <c r="G4" s="37"/>
      <c r="H4" s="37"/>
      <c r="I4" s="37"/>
      <c r="J4" s="37"/>
      <c r="K4" s="37"/>
      <c r="L4" s="37"/>
      <c r="M4" s="37"/>
      <c r="N4" s="38"/>
    </row>
    <row r="5" spans="2:14" ht="12.75">
      <c r="B5" s="36"/>
      <c r="C5" s="37"/>
      <c r="D5" s="37"/>
      <c r="E5" s="37"/>
      <c r="F5" s="37"/>
      <c r="G5" s="37"/>
      <c r="H5" s="37"/>
      <c r="I5" s="37"/>
      <c r="J5" s="37"/>
      <c r="K5" s="37"/>
      <c r="L5" s="37"/>
      <c r="M5" s="252">
        <v>42009</v>
      </c>
      <c r="N5" s="38"/>
    </row>
    <row r="6" spans="2:14" ht="30">
      <c r="B6" s="39"/>
      <c r="C6" s="40" t="s">
        <v>314</v>
      </c>
      <c r="D6" s="40"/>
      <c r="E6" s="40"/>
      <c r="F6" s="40"/>
      <c r="G6" s="40"/>
      <c r="H6" s="40"/>
      <c r="I6" s="40"/>
      <c r="J6" s="40"/>
      <c r="K6" s="40"/>
      <c r="L6" s="40"/>
      <c r="M6" s="40"/>
      <c r="N6" s="41"/>
    </row>
    <row r="7" spans="2:14" ht="20.25">
      <c r="B7" s="42"/>
      <c r="C7" s="43" t="s">
        <v>331</v>
      </c>
      <c r="D7" s="43"/>
      <c r="E7" s="43"/>
      <c r="F7" s="43"/>
      <c r="G7" s="43"/>
      <c r="H7" s="43"/>
      <c r="I7" s="43"/>
      <c r="J7" s="43"/>
      <c r="K7" s="43"/>
      <c r="L7" s="43"/>
      <c r="M7" s="43"/>
      <c r="N7" s="44"/>
    </row>
    <row r="8" spans="2:14" ht="12.75">
      <c r="B8" s="36"/>
      <c r="C8" s="237" t="s">
        <v>315</v>
      </c>
      <c r="D8" s="237"/>
      <c r="E8" s="237"/>
      <c r="F8" s="237"/>
      <c r="G8" s="237"/>
      <c r="H8" s="237"/>
      <c r="I8" s="237"/>
      <c r="J8" s="237"/>
      <c r="K8" s="237"/>
      <c r="L8" s="237"/>
      <c r="M8" s="237"/>
      <c r="N8" s="38"/>
    </row>
    <row r="9" spans="2:14" ht="12.75">
      <c r="B9" s="36"/>
      <c r="C9" s="37"/>
      <c r="D9" s="37"/>
      <c r="E9" s="37"/>
      <c r="F9" s="37"/>
      <c r="G9" s="37"/>
      <c r="H9" s="37"/>
      <c r="I9" s="37"/>
      <c r="J9" s="37"/>
      <c r="K9" s="37"/>
      <c r="L9" s="37"/>
      <c r="M9" s="37"/>
      <c r="N9" s="38"/>
    </row>
    <row r="10" spans="2:14" ht="12.75">
      <c r="B10" s="36"/>
      <c r="C10" s="235" t="s">
        <v>316</v>
      </c>
      <c r="D10" s="235"/>
      <c r="E10" s="235"/>
      <c r="F10" s="235"/>
      <c r="G10" s="235"/>
      <c r="H10" s="235"/>
      <c r="I10" s="235"/>
      <c r="J10" s="235"/>
      <c r="K10" s="235"/>
      <c r="L10" s="235"/>
      <c r="M10" s="235"/>
      <c r="N10" s="38"/>
    </row>
    <row r="11" spans="2:14" ht="12.75">
      <c r="B11" s="36"/>
      <c r="C11" s="235"/>
      <c r="D11" s="235"/>
      <c r="E11" s="235"/>
      <c r="F11" s="235"/>
      <c r="G11" s="235"/>
      <c r="H11" s="235"/>
      <c r="I11" s="235"/>
      <c r="J11" s="235"/>
      <c r="K11" s="235"/>
      <c r="L11" s="235"/>
      <c r="M11" s="235"/>
      <c r="N11" s="38"/>
    </row>
    <row r="12" spans="2:14" ht="12.75">
      <c r="B12" s="36"/>
      <c r="C12" s="37"/>
      <c r="D12" s="37"/>
      <c r="E12" s="37"/>
      <c r="F12" s="37"/>
      <c r="G12" s="37"/>
      <c r="H12" s="37"/>
      <c r="I12" s="37"/>
      <c r="J12" s="37"/>
      <c r="K12" s="37"/>
      <c r="L12" s="37"/>
      <c r="M12" s="37"/>
      <c r="N12" s="38"/>
    </row>
    <row r="13" spans="2:14" ht="12.75">
      <c r="B13" s="36"/>
      <c r="C13" s="237" t="s">
        <v>120</v>
      </c>
      <c r="D13" s="237"/>
      <c r="E13" s="237"/>
      <c r="F13" s="237"/>
      <c r="G13" s="237"/>
      <c r="H13" s="237"/>
      <c r="I13" s="237"/>
      <c r="J13" s="237"/>
      <c r="K13" s="237"/>
      <c r="L13" s="237"/>
      <c r="M13" s="237"/>
      <c r="N13" s="38"/>
    </row>
    <row r="14" spans="2:14" ht="12.75">
      <c r="B14" s="36"/>
      <c r="C14" s="238" t="s">
        <v>104</v>
      </c>
      <c r="D14" s="238"/>
      <c r="E14" s="238"/>
      <c r="F14" s="238"/>
      <c r="G14" s="238"/>
      <c r="H14" s="238"/>
      <c r="I14" s="238"/>
      <c r="J14" s="238"/>
      <c r="K14" s="238"/>
      <c r="L14" s="238"/>
      <c r="M14" s="238"/>
      <c r="N14" s="38"/>
    </row>
    <row r="15" spans="2:14" ht="12.75">
      <c r="B15" s="36"/>
      <c r="C15" s="239" t="s">
        <v>91</v>
      </c>
      <c r="D15" s="239"/>
      <c r="E15" s="239"/>
      <c r="F15" s="239"/>
      <c r="G15" s="239"/>
      <c r="H15" s="239"/>
      <c r="I15" s="239"/>
      <c r="J15" s="239"/>
      <c r="K15" s="239"/>
      <c r="L15" s="239"/>
      <c r="M15" s="239"/>
      <c r="N15" s="38"/>
    </row>
    <row r="16" spans="2:14" ht="12.75">
      <c r="B16" s="36"/>
      <c r="C16" s="11"/>
      <c r="D16" s="11"/>
      <c r="E16" s="11"/>
      <c r="F16" s="11"/>
      <c r="G16" s="37"/>
      <c r="H16" s="37"/>
      <c r="I16" s="37"/>
      <c r="J16" s="37"/>
      <c r="K16" s="37"/>
      <c r="L16" s="37"/>
      <c r="M16" s="37"/>
      <c r="N16" s="38"/>
    </row>
    <row r="17" spans="2:14" ht="12.75">
      <c r="B17" s="36"/>
      <c r="C17" s="237" t="s">
        <v>204</v>
      </c>
      <c r="D17" s="237"/>
      <c r="E17" s="237"/>
      <c r="F17" s="237"/>
      <c r="G17" s="237"/>
      <c r="H17" s="237"/>
      <c r="I17" s="237"/>
      <c r="J17" s="237"/>
      <c r="K17" s="237"/>
      <c r="L17" s="237"/>
      <c r="M17" s="237"/>
      <c r="N17" s="38"/>
    </row>
    <row r="18" spans="2:14" ht="12.75">
      <c r="B18" s="36"/>
      <c r="C18" s="37"/>
      <c r="D18" s="37"/>
      <c r="E18" s="37"/>
      <c r="F18" s="37"/>
      <c r="G18" s="37"/>
      <c r="H18" s="37"/>
      <c r="I18" s="37"/>
      <c r="J18" s="37"/>
      <c r="K18" s="37"/>
      <c r="L18" s="37"/>
      <c r="M18" s="37"/>
      <c r="N18" s="38"/>
    </row>
    <row r="19" spans="2:14" ht="12.75">
      <c r="B19" s="36"/>
      <c r="C19" s="237" t="s">
        <v>203</v>
      </c>
      <c r="D19" s="237"/>
      <c r="E19" s="237"/>
      <c r="F19" s="237"/>
      <c r="G19" s="237"/>
      <c r="H19" s="237"/>
      <c r="I19" s="237"/>
      <c r="J19" s="237"/>
      <c r="K19" s="237"/>
      <c r="L19" s="237"/>
      <c r="M19" s="237"/>
      <c r="N19" s="38"/>
    </row>
    <row r="20" spans="2:14" ht="13.5" thickBot="1">
      <c r="B20" s="36"/>
      <c r="C20" s="37"/>
      <c r="D20" s="37"/>
      <c r="E20" s="37"/>
      <c r="F20" s="37"/>
      <c r="G20" s="37"/>
      <c r="H20" s="37"/>
      <c r="I20" s="37"/>
      <c r="J20" s="37"/>
      <c r="K20" s="37"/>
      <c r="L20" s="37"/>
      <c r="M20" s="37"/>
      <c r="N20" s="38"/>
    </row>
    <row r="21" spans="2:14" ht="12.75">
      <c r="B21" s="36"/>
      <c r="C21" s="45"/>
      <c r="D21" s="46"/>
      <c r="E21" s="46"/>
      <c r="F21" s="46"/>
      <c r="G21" s="46"/>
      <c r="H21" s="46"/>
      <c r="I21" s="46"/>
      <c r="J21" s="46"/>
      <c r="K21" s="46"/>
      <c r="L21" s="46"/>
      <c r="M21" s="47"/>
      <c r="N21" s="38"/>
    </row>
    <row r="22" spans="2:14" ht="15.75">
      <c r="B22" s="36"/>
      <c r="C22" s="48"/>
      <c r="D22" s="240" t="s">
        <v>90</v>
      </c>
      <c r="E22" s="240"/>
      <c r="F22" s="240"/>
      <c r="G22" s="240"/>
      <c r="H22" s="240"/>
      <c r="I22" s="240"/>
      <c r="J22" s="240"/>
      <c r="K22" s="240"/>
      <c r="L22" s="240"/>
      <c r="M22" s="49"/>
      <c r="N22" s="38"/>
    </row>
    <row r="23" spans="2:14" ht="12.75">
      <c r="B23" s="36"/>
      <c r="C23" s="48"/>
      <c r="D23" s="236" t="s">
        <v>252</v>
      </c>
      <c r="E23" s="236"/>
      <c r="F23" s="236"/>
      <c r="G23" s="236"/>
      <c r="H23" s="236"/>
      <c r="I23" s="236"/>
      <c r="J23" s="236"/>
      <c r="K23" s="236"/>
      <c r="L23" s="236"/>
      <c r="M23" s="49"/>
      <c r="N23" s="38"/>
    </row>
    <row r="24" spans="2:14" ht="12.75">
      <c r="B24" s="36"/>
      <c r="C24" s="48"/>
      <c r="D24" s="236"/>
      <c r="E24" s="236"/>
      <c r="F24" s="236"/>
      <c r="G24" s="236"/>
      <c r="H24" s="236"/>
      <c r="I24" s="236"/>
      <c r="J24" s="236"/>
      <c r="K24" s="236"/>
      <c r="L24" s="236"/>
      <c r="M24" s="49"/>
      <c r="N24" s="38"/>
    </row>
    <row r="25" spans="2:14" ht="12.75">
      <c r="B25" s="36"/>
      <c r="C25" s="48"/>
      <c r="D25" s="236"/>
      <c r="E25" s="236"/>
      <c r="F25" s="236"/>
      <c r="G25" s="236"/>
      <c r="H25" s="236"/>
      <c r="I25" s="236"/>
      <c r="J25" s="236"/>
      <c r="K25" s="236"/>
      <c r="L25" s="236"/>
      <c r="M25" s="49"/>
      <c r="N25" s="38"/>
    </row>
    <row r="26" spans="2:14" ht="12.75">
      <c r="B26" s="36"/>
      <c r="C26" s="48"/>
      <c r="D26" s="236"/>
      <c r="E26" s="236"/>
      <c r="F26" s="236"/>
      <c r="G26" s="236"/>
      <c r="H26" s="236"/>
      <c r="I26" s="236"/>
      <c r="J26" s="236"/>
      <c r="K26" s="236"/>
      <c r="L26" s="236"/>
      <c r="M26" s="49"/>
      <c r="N26" s="38"/>
    </row>
    <row r="27" spans="2:14" ht="13.5" thickBot="1">
      <c r="B27" s="36"/>
      <c r="C27" s="50"/>
      <c r="D27" s="51"/>
      <c r="E27" s="51"/>
      <c r="F27" s="51"/>
      <c r="G27" s="51"/>
      <c r="H27" s="51"/>
      <c r="I27" s="51"/>
      <c r="J27" s="51"/>
      <c r="K27" s="51"/>
      <c r="L27" s="51"/>
      <c r="M27" s="52"/>
      <c r="N27" s="38"/>
    </row>
    <row r="28" spans="2:14" ht="12.75">
      <c r="B28" s="36"/>
      <c r="C28" s="37"/>
      <c r="D28" s="37"/>
      <c r="E28" s="37"/>
      <c r="F28" s="37"/>
      <c r="G28" s="37"/>
      <c r="H28" s="37"/>
      <c r="I28" s="37"/>
      <c r="J28" s="37"/>
      <c r="K28" s="37"/>
      <c r="L28" s="37"/>
      <c r="M28" s="37"/>
      <c r="N28" s="38"/>
    </row>
    <row r="29" spans="2:14" ht="13.5" thickBot="1">
      <c r="B29" s="53"/>
      <c r="C29" s="54"/>
      <c r="D29" s="54"/>
      <c r="E29" s="54"/>
      <c r="F29" s="54"/>
      <c r="G29" s="54"/>
      <c r="H29" s="54"/>
      <c r="I29" s="54"/>
      <c r="J29" s="54"/>
      <c r="K29" s="54"/>
      <c r="L29" s="54"/>
      <c r="M29" s="54"/>
      <c r="N29" s="55"/>
    </row>
    <row r="30" ht="13.5" thickTop="1"/>
  </sheetData>
  <sheetProtection sheet="1"/>
  <mergeCells count="9">
    <mergeCell ref="C10:M11"/>
    <mergeCell ref="D23:L26"/>
    <mergeCell ref="C8:M8"/>
    <mergeCell ref="C13:M13"/>
    <mergeCell ref="C14:M14"/>
    <mergeCell ref="C15:M15"/>
    <mergeCell ref="C17:M17"/>
    <mergeCell ref="C19:M19"/>
    <mergeCell ref="D22:L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191"/>
  <sheetViews>
    <sheetView zoomScale="70" zoomScaleNormal="70" zoomScalePageLayoutView="0" workbookViewId="0" topLeftCell="A1">
      <selection activeCell="B3" sqref="B3"/>
    </sheetView>
  </sheetViews>
  <sheetFormatPr defaultColWidth="9.140625" defaultRowHeight="12.75"/>
  <cols>
    <col min="1" max="1" width="62.00390625" style="161" bestFit="1" customWidth="1"/>
    <col min="2" max="2" width="16.57421875" style="0" bestFit="1" customWidth="1"/>
    <col min="3" max="3" width="9.57421875" style="0" bestFit="1" customWidth="1"/>
    <col min="4" max="4" width="12.140625" style="0" bestFit="1" customWidth="1"/>
    <col min="5" max="5" width="16.421875" style="28" bestFit="1" customWidth="1"/>
    <col min="6" max="6" width="30.28125" style="0" bestFit="1" customWidth="1"/>
    <col min="7" max="7" width="14.421875" style="0" bestFit="1" customWidth="1"/>
    <col min="8" max="8" width="13.421875" style="0" customWidth="1"/>
    <col min="9" max="9" width="11.7109375" style="0" customWidth="1"/>
  </cols>
  <sheetData>
    <row r="1" spans="1:14" ht="22.5" customHeight="1">
      <c r="A1" s="242" t="s">
        <v>330</v>
      </c>
      <c r="B1" s="242"/>
      <c r="C1" s="242"/>
      <c r="D1" s="242"/>
      <c r="E1" s="242"/>
      <c r="F1" s="242"/>
      <c r="H1" s="80"/>
      <c r="I1" s="3"/>
      <c r="J1" s="3"/>
      <c r="K1" s="3"/>
      <c r="L1" s="21"/>
      <c r="M1" s="3"/>
      <c r="N1" s="3"/>
    </row>
    <row r="2" spans="1:14" ht="12.75">
      <c r="A2" s="190"/>
      <c r="B2" s="192"/>
      <c r="C2" s="190"/>
      <c r="D2" s="191"/>
      <c r="E2" s="193"/>
      <c r="F2" s="3"/>
      <c r="H2" s="3"/>
      <c r="I2" s="4"/>
      <c r="J2" s="3"/>
      <c r="K2" s="3"/>
      <c r="L2" s="3"/>
      <c r="M2" s="3"/>
      <c r="N2" s="3"/>
    </row>
    <row r="3" spans="1:13" ht="12.75" customHeight="1">
      <c r="A3" s="223" t="s">
        <v>270</v>
      </c>
      <c r="B3" s="177" t="s">
        <v>118</v>
      </c>
      <c r="E3" s="168" t="s">
        <v>192</v>
      </c>
      <c r="G3" s="3"/>
      <c r="H3" s="3"/>
      <c r="I3" s="3"/>
      <c r="J3" s="3"/>
      <c r="K3" s="21"/>
      <c r="L3" s="3"/>
      <c r="M3" s="3"/>
    </row>
    <row r="4" spans="3:13" ht="12.75">
      <c r="C4" s="3"/>
      <c r="E4" s="169" t="s">
        <v>27</v>
      </c>
      <c r="G4" s="3"/>
      <c r="H4" s="3"/>
      <c r="I4" s="3"/>
      <c r="J4" s="3"/>
      <c r="K4" s="21"/>
      <c r="L4" s="3"/>
      <c r="M4" s="3"/>
    </row>
    <row r="5" spans="1:13" ht="15">
      <c r="A5" s="160" t="s">
        <v>269</v>
      </c>
      <c r="B5" s="6" t="s">
        <v>12</v>
      </c>
      <c r="C5" s="67" t="s">
        <v>11</v>
      </c>
      <c r="E5" s="170" t="s">
        <v>28</v>
      </c>
      <c r="G5" s="6"/>
      <c r="H5" s="6"/>
      <c r="I5" s="3"/>
      <c r="J5" s="6"/>
      <c r="K5" s="6"/>
      <c r="L5" s="6"/>
      <c r="M5" s="3"/>
    </row>
    <row r="6" spans="1:13" ht="12.75">
      <c r="A6" s="155" t="s">
        <v>233</v>
      </c>
      <c r="B6" s="179">
        <v>12</v>
      </c>
      <c r="C6" s="66" t="s">
        <v>5</v>
      </c>
      <c r="E6"/>
      <c r="G6" s="6"/>
      <c r="H6" s="6"/>
      <c r="I6" s="3"/>
      <c r="J6" s="6"/>
      <c r="K6" s="6"/>
      <c r="L6" s="6"/>
      <c r="M6" s="3"/>
    </row>
    <row r="7" spans="1:13" ht="12.75">
      <c r="A7" s="155" t="s">
        <v>234</v>
      </c>
      <c r="B7" s="179">
        <v>60</v>
      </c>
      <c r="C7" s="66" t="s">
        <v>5</v>
      </c>
      <c r="E7" s="2" t="s">
        <v>186</v>
      </c>
      <c r="F7" s="2"/>
      <c r="G7" s="6"/>
      <c r="H7" s="6"/>
      <c r="I7" s="3"/>
      <c r="J7" s="6"/>
      <c r="K7" s="6"/>
      <c r="L7" s="6"/>
      <c r="M7" s="3"/>
    </row>
    <row r="8" spans="1:13" ht="12.75">
      <c r="A8" s="155" t="s">
        <v>235</v>
      </c>
      <c r="B8" s="179">
        <v>8.5</v>
      </c>
      <c r="C8" s="66" t="s">
        <v>5</v>
      </c>
      <c r="E8" s="8" t="s">
        <v>185</v>
      </c>
      <c r="F8" s="8" t="s">
        <v>322</v>
      </c>
      <c r="G8" s="3"/>
      <c r="H8" s="4"/>
      <c r="I8" s="3"/>
      <c r="J8" s="3"/>
      <c r="K8" s="21"/>
      <c r="L8" s="3"/>
      <c r="M8" s="3"/>
    </row>
    <row r="9" spans="1:13" ht="12.75">
      <c r="A9" s="155" t="s">
        <v>276</v>
      </c>
      <c r="B9" s="179">
        <v>5</v>
      </c>
      <c r="C9" s="66" t="s">
        <v>5</v>
      </c>
      <c r="E9" s="8" t="s">
        <v>317</v>
      </c>
      <c r="F9" s="8" t="s">
        <v>323</v>
      </c>
      <c r="G9" s="3"/>
      <c r="H9" s="81"/>
      <c r="I9" s="74"/>
      <c r="J9" s="74"/>
      <c r="K9" s="3"/>
      <c r="L9" s="3"/>
      <c r="M9" s="3"/>
    </row>
    <row r="10" spans="1:13" ht="12.75">
      <c r="A10" s="155" t="s">
        <v>277</v>
      </c>
      <c r="B10" s="178">
        <f>0.005*Vout</f>
        <v>0.025</v>
      </c>
      <c r="C10" s="66" t="s">
        <v>5</v>
      </c>
      <c r="E10" s="8" t="s">
        <v>118</v>
      </c>
      <c r="F10" s="8" t="s">
        <v>324</v>
      </c>
      <c r="G10" s="3"/>
      <c r="H10" s="3"/>
      <c r="I10" s="3"/>
      <c r="J10" s="3"/>
      <c r="K10" s="3"/>
      <c r="L10" s="3"/>
      <c r="M10" s="3"/>
    </row>
    <row r="11" spans="1:13" ht="12.75">
      <c r="A11" s="155" t="s">
        <v>278</v>
      </c>
      <c r="B11" s="178">
        <v>4</v>
      </c>
      <c r="C11" s="66" t="s">
        <v>7</v>
      </c>
      <c r="E11" s="8" t="s">
        <v>318</v>
      </c>
      <c r="F11" s="8" t="s">
        <v>325</v>
      </c>
      <c r="G11" s="3"/>
      <c r="H11" s="4"/>
      <c r="I11" s="3"/>
      <c r="J11" s="3"/>
      <c r="K11" s="3"/>
      <c r="L11" s="3"/>
      <c r="M11" s="3"/>
    </row>
    <row r="12" spans="1:13" ht="12.75">
      <c r="A12" s="155" t="s">
        <v>279</v>
      </c>
      <c r="B12" s="180">
        <f>Vout*dV_percent/100</f>
        <v>0.2</v>
      </c>
      <c r="C12" s="66" t="s">
        <v>5</v>
      </c>
      <c r="D12" s="199"/>
      <c r="E12" s="8" t="s">
        <v>224</v>
      </c>
      <c r="F12" s="8" t="s">
        <v>321</v>
      </c>
      <c r="G12" s="3"/>
      <c r="H12" s="4"/>
      <c r="I12" s="3"/>
      <c r="J12" s="3"/>
      <c r="K12" s="3"/>
      <c r="L12" s="3"/>
      <c r="M12" s="3"/>
    </row>
    <row r="13" spans="1:13" ht="12.75">
      <c r="A13" s="155" t="s">
        <v>280</v>
      </c>
      <c r="B13" s="178">
        <f>Iout/2</f>
        <v>1.75</v>
      </c>
      <c r="C13" s="66" t="s">
        <v>4</v>
      </c>
      <c r="D13" s="199"/>
      <c r="E13" s="8" t="s">
        <v>319</v>
      </c>
      <c r="F13" s="8" t="s">
        <v>326</v>
      </c>
      <c r="G13" s="3"/>
      <c r="H13" s="10"/>
      <c r="I13" s="3"/>
      <c r="J13" s="3"/>
      <c r="K13" s="3"/>
      <c r="L13" s="3"/>
      <c r="M13" s="3"/>
    </row>
    <row r="14" spans="1:13" ht="12.75">
      <c r="A14" s="155" t="s">
        <v>281</v>
      </c>
      <c r="B14" s="181">
        <v>3.5</v>
      </c>
      <c r="C14" s="66" t="s">
        <v>4</v>
      </c>
      <c r="D14" s="199"/>
      <c r="E14" s="8" t="s">
        <v>225</v>
      </c>
      <c r="F14" s="8" t="s">
        <v>327</v>
      </c>
      <c r="G14" s="3"/>
      <c r="H14" s="10"/>
      <c r="I14" s="3"/>
      <c r="J14" s="3"/>
      <c r="K14" s="3"/>
      <c r="L14" s="3"/>
      <c r="M14" s="3"/>
    </row>
    <row r="15" spans="1:13" ht="12.75">
      <c r="A15" s="155" t="s">
        <v>282</v>
      </c>
      <c r="B15" s="178">
        <v>0.1</v>
      </c>
      <c r="C15" s="66" t="s">
        <v>4</v>
      </c>
      <c r="D15" s="28"/>
      <c r="E15" s="8" t="s">
        <v>320</v>
      </c>
      <c r="F15" s="8" t="s">
        <v>328</v>
      </c>
      <c r="G15" s="3"/>
      <c r="H15" s="4"/>
      <c r="I15" s="3"/>
      <c r="J15" s="3"/>
      <c r="K15" s="3"/>
      <c r="L15" s="3"/>
      <c r="M15" s="3"/>
    </row>
    <row r="16" spans="1:13" ht="12.75">
      <c r="A16" s="155" t="s">
        <v>283</v>
      </c>
      <c r="B16" s="180">
        <v>8</v>
      </c>
      <c r="C16" s="66" t="s">
        <v>5</v>
      </c>
      <c r="D16" s="28"/>
      <c r="E16"/>
      <c r="G16" s="3"/>
      <c r="H16" s="4"/>
      <c r="I16" s="3"/>
      <c r="J16" s="3"/>
      <c r="K16" s="3"/>
      <c r="L16" s="3"/>
      <c r="M16" s="3"/>
    </row>
    <row r="17" spans="1:13" ht="12.75">
      <c r="A17" s="155" t="s">
        <v>284</v>
      </c>
      <c r="B17" s="180">
        <v>6.25</v>
      </c>
      <c r="C17" s="66" t="s">
        <v>5</v>
      </c>
      <c r="D17" s="28"/>
      <c r="E17"/>
      <c r="G17" s="3"/>
      <c r="H17" s="4"/>
      <c r="I17" s="3"/>
      <c r="J17" s="3"/>
      <c r="K17" s="3"/>
      <c r="L17" s="3"/>
      <c r="M17" s="3"/>
    </row>
    <row r="18" spans="1:13" ht="12.75">
      <c r="A18" s="161" t="s">
        <v>92</v>
      </c>
      <c r="B18" s="178">
        <v>0.1</v>
      </c>
      <c r="C18" s="66" t="s">
        <v>5</v>
      </c>
      <c r="D18" s="28"/>
      <c r="E18"/>
      <c r="G18" s="21"/>
      <c r="H18" s="4"/>
      <c r="I18" s="3"/>
      <c r="J18" s="3"/>
      <c r="K18" s="3"/>
      <c r="L18" s="3"/>
      <c r="M18" s="3"/>
    </row>
    <row r="19" spans="1:14" ht="12.75">
      <c r="A19" s="155" t="s">
        <v>57</v>
      </c>
      <c r="B19" s="182">
        <v>600</v>
      </c>
      <c r="C19" s="69" t="s">
        <v>21</v>
      </c>
      <c r="E19"/>
      <c r="F19" s="6"/>
      <c r="H19" s="3"/>
      <c r="I19" s="4"/>
      <c r="J19" s="3"/>
      <c r="K19" s="3"/>
      <c r="L19" s="3"/>
      <c r="M19" s="3"/>
      <c r="N19" s="3"/>
    </row>
    <row r="20" spans="1:14" ht="12.75">
      <c r="A20" s="190"/>
      <c r="B20" s="192"/>
      <c r="C20" s="190"/>
      <c r="D20" s="191"/>
      <c r="E20" s="193"/>
      <c r="F20" s="3"/>
      <c r="H20" s="3"/>
      <c r="I20" s="4"/>
      <c r="J20" s="3"/>
      <c r="K20" s="3"/>
      <c r="L20" s="3"/>
      <c r="M20" s="3"/>
      <c r="N20" s="3"/>
    </row>
    <row r="21" spans="1:14" ht="15">
      <c r="A21" s="160" t="s">
        <v>251</v>
      </c>
      <c r="E21" s="69"/>
      <c r="F21" s="3"/>
      <c r="H21" s="3"/>
      <c r="I21" s="26"/>
      <c r="J21" s="3"/>
      <c r="K21" s="3"/>
      <c r="L21" s="3"/>
      <c r="M21" s="3"/>
      <c r="N21" s="3"/>
    </row>
    <row r="22" spans="2:14" ht="12.75">
      <c r="B22" s="233" t="str">
        <f>"EVM-"&amp;LOOKUP(B$3,partdata!A3:A10,partdata!B3:B10)&amp;" Ref Des"</f>
        <v>EVM-182 Ref Des</v>
      </c>
      <c r="C22" s="241" t="s">
        <v>253</v>
      </c>
      <c r="D22" s="241"/>
      <c r="E22" s="241"/>
      <c r="F22" s="241"/>
      <c r="G22" s="8"/>
      <c r="H22" s="3"/>
      <c r="I22" s="26"/>
      <c r="J22" s="3"/>
      <c r="K22" s="3"/>
      <c r="L22" s="3"/>
      <c r="M22" s="3"/>
      <c r="N22" s="3"/>
    </row>
    <row r="23" spans="1:14" ht="12.75">
      <c r="A23" s="164" t="s">
        <v>178</v>
      </c>
      <c r="B23" s="234" t="s">
        <v>178</v>
      </c>
      <c r="C23" s="148" t="str">
        <f>B3</f>
        <v>TPS54360</v>
      </c>
      <c r="D23" s="65"/>
      <c r="E23" s="65"/>
      <c r="F23" s="3"/>
      <c r="G23" s="8"/>
      <c r="H23" s="3"/>
      <c r="I23" s="26"/>
      <c r="J23" s="3"/>
      <c r="K23" s="3"/>
      <c r="L23" s="3"/>
      <c r="M23" s="3"/>
      <c r="N23" s="3"/>
    </row>
    <row r="24" spans="1:14" ht="12.75">
      <c r="A24" s="164" t="s">
        <v>193</v>
      </c>
      <c r="B24" s="234" t="s">
        <v>80</v>
      </c>
      <c r="C24" s="148"/>
      <c r="D24" s="148" t="str">
        <f>Vin_max&amp;"V"</f>
        <v>60V</v>
      </c>
      <c r="E24" s="149" t="str">
        <f>"Ipeak = "&amp;TEXT(MIN(B94/0.8,Ilim),"0.000")&amp;"A"</f>
        <v>Ipeak = 4.700A</v>
      </c>
      <c r="F24" s="3"/>
      <c r="H24" s="3"/>
      <c r="I24" s="3"/>
      <c r="J24" s="3"/>
      <c r="K24" s="3"/>
      <c r="L24" s="3"/>
      <c r="M24" s="3"/>
      <c r="N24" s="3"/>
    </row>
    <row r="25" spans="1:14" ht="12.75">
      <c r="A25" s="164" t="s">
        <v>138</v>
      </c>
      <c r="B25" s="234" t="str">
        <f>LOOKUP(B$3,partdata!A3:A10,partdata!C3:C10)</f>
        <v>C1-C3</v>
      </c>
      <c r="C25" s="147" t="str">
        <f>TEXT(Cin*1000000,"0.0")&amp;" µF"</f>
        <v>4.4 µF</v>
      </c>
      <c r="D25" s="148" t="str">
        <f>Vin_max&amp;"V"</f>
        <v>60V</v>
      </c>
      <c r="E25" s="149" t="str">
        <f>"Irms = "&amp;TEXT(B117,"0.000")&amp;"A"</f>
        <v>Irms = 1.723A</v>
      </c>
      <c r="F25" s="3"/>
      <c r="G25" s="3"/>
      <c r="H25" s="6"/>
      <c r="I25" s="6"/>
      <c r="J25" s="3"/>
      <c r="K25" s="3"/>
      <c r="L25" s="6"/>
      <c r="M25" s="6"/>
      <c r="N25" s="3"/>
    </row>
    <row r="26" spans="1:14" ht="12.75">
      <c r="A26" s="164" t="s">
        <v>191</v>
      </c>
      <c r="B26" s="234" t="str">
        <f>LOOKUP(B$3,partdata!A3:A10,partdata!D3:D10)</f>
        <v>C6-C7, C9</v>
      </c>
      <c r="C26" s="147" t="str">
        <f>TEXT(Co*1000000,"0.0")&amp;" µF"</f>
        <v>29.2 µF</v>
      </c>
      <c r="D26" s="148" t="str">
        <f>Vout&amp;"V"</f>
        <v>5V</v>
      </c>
      <c r="E26" s="149" t="str">
        <f>"Irms = "&amp;TEXT(B99,"0.000")&amp;"A"</f>
        <v>Irms = 0.303A</v>
      </c>
      <c r="F26" s="3"/>
      <c r="G26" s="3"/>
      <c r="H26" s="3"/>
      <c r="I26" s="3"/>
      <c r="J26" s="3"/>
      <c r="K26" s="3"/>
      <c r="L26" s="3"/>
      <c r="M26" s="6"/>
      <c r="N26" s="3"/>
    </row>
    <row r="27" spans="1:14" ht="12.75">
      <c r="A27" s="165" t="s">
        <v>139</v>
      </c>
      <c r="B27" s="234" t="s">
        <v>207</v>
      </c>
      <c r="C27" s="150" t="str">
        <f>TEXT(0.0000001*1000000,"0.000")&amp;" µF"</f>
        <v>0.100 µF</v>
      </c>
      <c r="D27" s="151" t="s">
        <v>249</v>
      </c>
      <c r="E27" s="171"/>
      <c r="F27" s="3"/>
      <c r="G27" s="3"/>
      <c r="H27" s="3"/>
      <c r="I27" s="3"/>
      <c r="J27" s="3"/>
      <c r="K27" s="3"/>
      <c r="L27" s="3"/>
      <c r="M27" s="6"/>
      <c r="N27" s="3"/>
    </row>
    <row r="28" spans="1:14" ht="12.75">
      <c r="A28" s="164" t="s">
        <v>140</v>
      </c>
      <c r="B28" s="234" t="s">
        <v>208</v>
      </c>
      <c r="C28" s="147" t="str">
        <f>TEXT(L*1000000,"0.0")&amp;" µH"</f>
        <v>7.3 µH</v>
      </c>
      <c r="D28" s="148" t="str">
        <f>"Isat = "&amp;TEXT(MIN(B94/0.8,Ilim),"0.000")&amp;"A"</f>
        <v>Isat = 4.700A</v>
      </c>
      <c r="E28" s="152" t="str">
        <f>"Irms = "&amp;TEXT(B93,"0.000")&amp;"A"</f>
        <v>Irms = 3.501A</v>
      </c>
      <c r="F28" s="3"/>
      <c r="G28" s="3"/>
      <c r="H28" s="3"/>
      <c r="I28" s="3"/>
      <c r="J28" s="3"/>
      <c r="K28" s="3"/>
      <c r="L28" s="3"/>
      <c r="M28" s="6"/>
      <c r="N28" s="3"/>
    </row>
    <row r="29" spans="1:14" ht="12.75">
      <c r="A29" s="166" t="s">
        <v>141</v>
      </c>
      <c r="B29" s="234" t="s">
        <v>209</v>
      </c>
      <c r="C29" s="147" t="str">
        <f>B75&amp;" kΩ"</f>
        <v>162 kΩ</v>
      </c>
      <c r="D29" s="8"/>
      <c r="E29" s="64"/>
      <c r="F29" s="3"/>
      <c r="G29" s="3"/>
      <c r="H29" s="3"/>
      <c r="I29" s="3"/>
      <c r="J29" s="3"/>
      <c r="K29" s="3"/>
      <c r="L29" s="3"/>
      <c r="M29" s="6"/>
      <c r="N29" s="3"/>
    </row>
    <row r="30" spans="1:14" ht="12.75">
      <c r="A30" s="164" t="s">
        <v>142</v>
      </c>
      <c r="B30" s="234" t="s">
        <v>210</v>
      </c>
      <c r="C30" s="147" t="str">
        <f>Ruvlo1/1000&amp;" kΩ"</f>
        <v>511 kΩ</v>
      </c>
      <c r="D30" s="8"/>
      <c r="E30" s="64"/>
      <c r="F30" s="6"/>
      <c r="G30" s="3"/>
      <c r="H30" s="3"/>
      <c r="I30" s="3"/>
      <c r="J30" s="3"/>
      <c r="K30" s="3"/>
      <c r="L30" s="3"/>
      <c r="M30" s="6"/>
      <c r="N30" s="3"/>
    </row>
    <row r="31" spans="1:14" ht="12.75">
      <c r="A31" s="165" t="s">
        <v>143</v>
      </c>
      <c r="B31" s="234" t="s">
        <v>211</v>
      </c>
      <c r="C31" s="147" t="str">
        <f>Ruvlo2/1000&amp;" kΩ"</f>
        <v>82.5 kΩ</v>
      </c>
      <c r="D31" s="8"/>
      <c r="E31" s="64"/>
      <c r="F31" s="3"/>
      <c r="G31" s="3"/>
      <c r="H31" s="3"/>
      <c r="I31" s="3"/>
      <c r="J31" s="3"/>
      <c r="K31" s="3"/>
      <c r="L31" s="3"/>
      <c r="M31" s="6"/>
      <c r="N31" s="3"/>
    </row>
    <row r="32" spans="1:14" ht="12.75">
      <c r="A32" s="164" t="s">
        <v>144</v>
      </c>
      <c r="B32" s="234" t="s">
        <v>212</v>
      </c>
      <c r="C32" s="147" t="str">
        <f>Rhs/1000&amp;" kΩ"</f>
        <v>53.6 kΩ</v>
      </c>
      <c r="D32" s="8"/>
      <c r="E32" s="64"/>
      <c r="F32" s="3"/>
      <c r="G32" s="3"/>
      <c r="H32" s="3"/>
      <c r="I32" s="3"/>
      <c r="J32" s="3"/>
      <c r="K32" s="3"/>
      <c r="L32" s="3"/>
      <c r="M32" s="6"/>
      <c r="N32" s="3"/>
    </row>
    <row r="33" spans="1:14" ht="12.75">
      <c r="A33" s="164" t="s">
        <v>145</v>
      </c>
      <c r="B33" s="234" t="s">
        <v>213</v>
      </c>
      <c r="C33" s="147" t="str">
        <f>TEXT(Rls/1000,"0.0")&amp;" kΩ"</f>
        <v>10.2 kΩ</v>
      </c>
      <c r="D33" s="8"/>
      <c r="E33" s="64"/>
      <c r="F33" s="3"/>
      <c r="G33" s="3"/>
      <c r="H33" s="3"/>
      <c r="I33" s="3"/>
      <c r="J33" s="3"/>
      <c r="K33" s="3"/>
      <c r="L33" s="3"/>
      <c r="M33" s="6"/>
      <c r="N33" s="3"/>
    </row>
    <row r="34" spans="1:14" ht="12.75">
      <c r="A34" s="164" t="s">
        <v>146</v>
      </c>
      <c r="B34" s="234" t="s">
        <v>214</v>
      </c>
      <c r="C34" s="147" t="str">
        <f>Rcomp/1000&amp;" kΩ"</f>
        <v>9.31 kΩ</v>
      </c>
      <c r="D34" s="8"/>
      <c r="E34" s="64"/>
      <c r="F34" s="3"/>
      <c r="G34" s="3"/>
      <c r="H34" s="3"/>
      <c r="I34" s="3"/>
      <c r="J34" s="3"/>
      <c r="K34" s="3"/>
      <c r="L34" s="3"/>
      <c r="M34" s="6"/>
      <c r="N34" s="3"/>
    </row>
    <row r="35" spans="1:14" ht="12.75">
      <c r="A35" s="164" t="s">
        <v>147</v>
      </c>
      <c r="B35" s="234" t="s">
        <v>215</v>
      </c>
      <c r="C35" s="147" t="str">
        <f>IF(Ccomp&gt;=0.00000001,TEXT(Ccomp*1000000,"0.000")&amp;" µF",TEXT(Ccomp*1000000000000,"0")&amp;" pF")</f>
        <v>4700 pF</v>
      </c>
      <c r="D35" s="151" t="str">
        <f>3&amp;"V"</f>
        <v>3V</v>
      </c>
      <c r="E35" s="64"/>
      <c r="F35" s="6"/>
      <c r="G35" s="3"/>
      <c r="H35" s="3"/>
      <c r="I35" s="3"/>
      <c r="J35" s="3"/>
      <c r="K35" s="3"/>
      <c r="L35" s="3"/>
      <c r="M35" s="6"/>
      <c r="N35" s="3"/>
    </row>
    <row r="36" spans="1:14" ht="12.75">
      <c r="A36" s="164" t="s">
        <v>148</v>
      </c>
      <c r="B36" s="234" t="s">
        <v>216</v>
      </c>
      <c r="C36" s="147" t="str">
        <f>TEXT(Cpole*1000000000000,"0.0")&amp;" pF"</f>
        <v>47.0 pF</v>
      </c>
      <c r="D36" s="151" t="str">
        <f>3&amp;"V"</f>
        <v>3V</v>
      </c>
      <c r="E36" s="64"/>
      <c r="F36" s="3"/>
      <c r="G36" s="3"/>
      <c r="H36" s="3"/>
      <c r="I36" s="3"/>
      <c r="J36" s="3"/>
      <c r="K36" s="3"/>
      <c r="L36" s="3"/>
      <c r="M36" s="6"/>
      <c r="N36" s="3"/>
    </row>
    <row r="37" spans="1:14" ht="12.75" hidden="1">
      <c r="A37" s="164" t="s">
        <v>241</v>
      </c>
      <c r="B37" s="186" t="s">
        <v>250</v>
      </c>
      <c r="C37" s="147" t="str">
        <f>IF(B189="internal ss","internal ss",IF(Css&gt;=0.00000001,TEXT(Css*1000000,"0.000")&amp;" µF",TEXT(Css*1000000000000,"0")&amp;" pF"))</f>
        <v>internal ss</v>
      </c>
      <c r="D37" s="151" t="str">
        <f>3&amp;"V"</f>
        <v>3V</v>
      </c>
      <c r="F37" s="3"/>
      <c r="G37" s="3"/>
      <c r="H37" s="3"/>
      <c r="I37" s="3"/>
      <c r="J37" s="3"/>
      <c r="K37" s="3"/>
      <c r="L37" s="3"/>
      <c r="M37" s="6"/>
      <c r="N37" s="3"/>
    </row>
    <row r="38" spans="1:14" ht="12.75">
      <c r="A38" s="164" t="s">
        <v>241</v>
      </c>
      <c r="B38" s="186"/>
      <c r="C38" s="147" t="str">
        <f>IF(B189="internal ss","internal ss",TEXT(B141,"0.00")&amp;" nF")</f>
        <v>internal ss</v>
      </c>
      <c r="D38" s="151" t="s">
        <v>329</v>
      </c>
      <c r="F38" s="3"/>
      <c r="G38" s="3"/>
      <c r="H38" s="3"/>
      <c r="I38" s="3"/>
      <c r="J38" s="3"/>
      <c r="K38" s="3"/>
      <c r="L38" s="3"/>
      <c r="M38" s="6"/>
      <c r="N38" s="3"/>
    </row>
    <row r="39" spans="1:14" ht="12.75">
      <c r="A39" s="164"/>
      <c r="B39" s="186"/>
      <c r="C39" s="186"/>
      <c r="D39" s="186"/>
      <c r="E39" s="186"/>
      <c r="F39" s="3"/>
      <c r="G39" s="3"/>
      <c r="H39" s="3"/>
      <c r="I39" s="3"/>
      <c r="J39" s="3"/>
      <c r="K39" s="3"/>
      <c r="L39" s="3"/>
      <c r="M39" s="6"/>
      <c r="N39" s="3"/>
    </row>
    <row r="40" spans="6:14" ht="12.75">
      <c r="F40" s="3"/>
      <c r="G40" s="3"/>
      <c r="H40" s="3"/>
      <c r="I40" s="3"/>
      <c r="J40" s="3"/>
      <c r="K40" s="3"/>
      <c r="L40" s="3"/>
      <c r="M40" s="6"/>
      <c r="N40" s="3"/>
    </row>
    <row r="41" spans="7:14" ht="12.75">
      <c r="G41" s="3"/>
      <c r="H41" s="3"/>
      <c r="I41" s="3"/>
      <c r="J41" s="3"/>
      <c r="K41" s="3"/>
      <c r="L41" s="3"/>
      <c r="M41" s="6"/>
      <c r="N41" s="3"/>
    </row>
    <row r="42" ht="12.75">
      <c r="H42" s="3"/>
    </row>
    <row r="43" ht="12.75">
      <c r="H43" s="3"/>
    </row>
    <row r="44" ht="12.75">
      <c r="F44" s="198"/>
    </row>
    <row r="45" spans="6:7" ht="12.75">
      <c r="F45" s="65"/>
      <c r="G45" s="10"/>
    </row>
    <row r="46" ht="12.75">
      <c r="G46" s="10"/>
    </row>
    <row r="47" ht="12.75">
      <c r="G47" s="10"/>
    </row>
    <row r="48" ht="12.75">
      <c r="G48" s="3"/>
    </row>
    <row r="49" ht="12.75">
      <c r="G49" s="3"/>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spans="1:6" ht="15">
      <c r="A70" s="160" t="s">
        <v>268</v>
      </c>
      <c r="B70" s="6" t="s">
        <v>12</v>
      </c>
      <c r="C70" s="3"/>
      <c r="D70" s="3"/>
      <c r="E70" s="67" t="s">
        <v>11</v>
      </c>
      <c r="F70" s="2" t="s">
        <v>292</v>
      </c>
    </row>
    <row r="71" spans="1:6" ht="12.75">
      <c r="A71" s="162" t="s">
        <v>43</v>
      </c>
      <c r="B71" s="25">
        <f>IF((1/ton_min)*(Iout*Rdc+Vout+Vd)/(Vin_max-Iout*Rdson+Vd)&gt;=fsw_max,fsw_max,(1/ton_min)*(Iout*Rdc+Vout+Vd)/(Vin_max-Iout*Rdson+Vd))/1000</f>
        <v>704.911913637547</v>
      </c>
      <c r="C71" s="3"/>
      <c r="D71" s="3"/>
      <c r="E71" s="69" t="s">
        <v>21</v>
      </c>
      <c r="F71" s="21" t="s">
        <v>100</v>
      </c>
    </row>
    <row r="72" spans="1:6" ht="12.75">
      <c r="A72" s="162" t="s">
        <v>44</v>
      </c>
      <c r="B72" s="25">
        <f>IF((8/ton_min)*(Ilim*Rdc+Vout*0+Voutsc+Vd)/(Vin_max-Ilim*Rdson+Vd)&gt;=fsw_max,fsw_max,(8/ton_min)*(Ilim*Rdc+Vout*0+Voutsc+Vd)/(Vin_max-Ilim*Rdson+Vd))/1000</f>
        <v>858.3192609125226</v>
      </c>
      <c r="C72" s="3"/>
      <c r="D72" s="3"/>
      <c r="E72" s="69" t="s">
        <v>21</v>
      </c>
      <c r="F72" s="21" t="s">
        <v>101</v>
      </c>
    </row>
    <row r="73" spans="1:14" ht="12.75">
      <c r="A73" s="155" t="s">
        <v>57</v>
      </c>
      <c r="B73" s="182">
        <f>B19</f>
        <v>600</v>
      </c>
      <c r="E73" s="69" t="s">
        <v>21</v>
      </c>
      <c r="F73" s="6"/>
      <c r="H73" s="3"/>
      <c r="I73" s="4"/>
      <c r="J73" s="3"/>
      <c r="K73" s="3"/>
      <c r="L73" s="3"/>
      <c r="M73" s="3"/>
      <c r="N73" s="3"/>
    </row>
    <row r="74" spans="1:6" ht="12.75">
      <c r="A74" s="161" t="s">
        <v>307</v>
      </c>
      <c r="B74" s="20">
        <f>92417/((fsw/1000)^(0.991))</f>
        <v>163.1563486216187</v>
      </c>
      <c r="C74" s="153">
        <f>(IF((10^(LOG(B74)-INT(LOG(B74)))*100)-VLOOKUP((10^(LOG(B74)-INT(LOG(B74)))*100),E96_s:E96_f,1)&lt;VLOOKUP((10^(LOG(B74)-INT(LOG(B74)))*100),E96_s:E96_f,2)-(10^(LOG(B74)-INT(LOG(B74)))*100),VLOOKUP((10^(LOG(B74)-INT(LOG(B74)))*100),E96_s:E96_f,1),VLOOKUP((10^(LOG(B74)-INT(LOG(B74)))*100),E96_s:E96_f,2)))*10^INT(LOG(B74))/100</f>
        <v>162</v>
      </c>
      <c r="D74" s="3"/>
      <c r="E74" s="66" t="s">
        <v>157</v>
      </c>
      <c r="F74" s="21" t="s">
        <v>194</v>
      </c>
    </row>
    <row r="75" spans="1:6" ht="12.75">
      <c r="A75" s="161" t="s">
        <v>17</v>
      </c>
      <c r="B75" s="179">
        <f>C74</f>
        <v>162</v>
      </c>
      <c r="E75" s="66" t="s">
        <v>157</v>
      </c>
      <c r="F75" s="18"/>
    </row>
    <row r="76" spans="1:6" ht="12.75">
      <c r="A76" s="161" t="s">
        <v>306</v>
      </c>
      <c r="B76" s="20">
        <f>101756/(B75^1.008)</f>
        <v>603.0716207442574</v>
      </c>
      <c r="E76" s="66" t="s">
        <v>21</v>
      </c>
      <c r="F76" s="172" t="s">
        <v>271</v>
      </c>
    </row>
    <row r="77" spans="1:6" ht="12.75">
      <c r="A77" s="161" t="s">
        <v>294</v>
      </c>
      <c r="B77" s="20">
        <f>1/(B76*1000)*(Iout*Rdc+Vout+Vd)/(Vin_max-Iout*Rdson+Vd)*10^9</f>
        <v>157.79735783890305</v>
      </c>
      <c r="D77" s="3"/>
      <c r="E77" s="68" t="s">
        <v>236</v>
      </c>
      <c r="F77" s="3"/>
    </row>
    <row r="78" spans="1:14" ht="12.75">
      <c r="A78" s="155"/>
      <c r="B78" s="1"/>
      <c r="C78" s="1"/>
      <c r="E78" s="70"/>
      <c r="F78" s="3"/>
      <c r="H78" s="3"/>
      <c r="I78" s="5"/>
      <c r="J78" s="3"/>
      <c r="K78" s="3"/>
      <c r="L78" s="21"/>
      <c r="M78" s="9"/>
      <c r="N78" s="3"/>
    </row>
    <row r="79" spans="1:14" ht="15">
      <c r="A79" s="211" t="s">
        <v>311</v>
      </c>
      <c r="B79" s="192"/>
      <c r="C79" s="190"/>
      <c r="D79" s="191"/>
      <c r="E79" s="193"/>
      <c r="F79" s="6"/>
      <c r="G79" s="3"/>
      <c r="H79" s="3"/>
      <c r="I79" s="3"/>
      <c r="J79" s="3"/>
      <c r="K79" s="3"/>
      <c r="L79" s="3"/>
      <c r="M79" s="6"/>
      <c r="N79" s="3"/>
    </row>
    <row r="80" spans="1:14" ht="12.75">
      <c r="A80" s="190" t="s">
        <v>219</v>
      </c>
      <c r="B80" s="194">
        <v>0.9</v>
      </c>
      <c r="C80" s="190"/>
      <c r="D80" s="191"/>
      <c r="E80" s="193"/>
      <c r="F80" s="6"/>
      <c r="G80" s="3"/>
      <c r="H80" s="3"/>
      <c r="I80" s="3"/>
      <c r="J80" s="3"/>
      <c r="K80" s="3"/>
      <c r="L80" s="3"/>
      <c r="M80" s="6"/>
      <c r="N80" s="3"/>
    </row>
    <row r="81" spans="1:14" ht="12.75">
      <c r="A81" s="190" t="s">
        <v>220</v>
      </c>
      <c r="B81" s="195">
        <v>0.0001</v>
      </c>
      <c r="C81" s="190"/>
      <c r="D81" s="191"/>
      <c r="E81" s="193" t="s">
        <v>4</v>
      </c>
      <c r="F81" s="6"/>
      <c r="G81" s="3"/>
      <c r="H81" s="3"/>
      <c r="I81" s="3"/>
      <c r="J81" s="3"/>
      <c r="K81" s="3"/>
      <c r="L81" s="3"/>
      <c r="M81" s="6"/>
      <c r="N81" s="3"/>
    </row>
    <row r="82" spans="1:14" ht="12.75">
      <c r="A82" s="190" t="s">
        <v>221</v>
      </c>
      <c r="B82" s="196">
        <f>(1.41*Vin_min-0.554-Vd*fsw/10^6-1.847*10^3*IB2PH)/(1.41+fsw/10^6)</f>
        <v>5.401144278606965</v>
      </c>
      <c r="C82" s="190"/>
      <c r="D82" s="191"/>
      <c r="E82" s="193" t="s">
        <v>5</v>
      </c>
      <c r="F82" s="6"/>
      <c r="G82" s="3"/>
      <c r="H82" s="3"/>
      <c r="I82" s="3"/>
      <c r="J82" s="3"/>
      <c r="K82" s="3"/>
      <c r="L82" s="3"/>
      <c r="M82" s="6"/>
      <c r="N82" s="3"/>
    </row>
    <row r="83" spans="1:14" ht="12.75">
      <c r="A83" s="190" t="s">
        <v>222</v>
      </c>
      <c r="B83" s="196">
        <f>VBOOT+Vd</f>
        <v>6.051144278606966</v>
      </c>
      <c r="C83" s="190"/>
      <c r="D83" s="191"/>
      <c r="E83" s="193" t="s">
        <v>5</v>
      </c>
      <c r="F83" s="6"/>
      <c r="G83" s="3"/>
      <c r="H83" s="3"/>
      <c r="I83" s="3"/>
      <c r="J83" s="3"/>
      <c r="K83" s="3"/>
      <c r="L83" s="3"/>
      <c r="M83" s="6"/>
      <c r="N83" s="3"/>
    </row>
    <row r="84" spans="1:14" ht="12.75">
      <c r="A84" s="190" t="s">
        <v>232</v>
      </c>
      <c r="B84" s="230">
        <f>1/(-0.3*VB2PH^2+3.577*VB2PH-4.246)</f>
        <v>0.15590800214507006</v>
      </c>
      <c r="C84" s="190"/>
      <c r="D84" s="191"/>
      <c r="E84" s="193" t="s">
        <v>156</v>
      </c>
      <c r="F84" s="6"/>
      <c r="G84" s="3"/>
      <c r="H84" s="3"/>
      <c r="I84" s="3"/>
      <c r="J84" s="3"/>
      <c r="K84" s="3"/>
      <c r="L84" s="3"/>
      <c r="M84" s="6"/>
      <c r="N84" s="3"/>
    </row>
    <row r="85" spans="1:14" ht="12.75">
      <c r="A85" s="190" t="s">
        <v>223</v>
      </c>
      <c r="B85" s="197">
        <f>Dmax*(Vin_min-Iout*Rdson_est+Vd)-Vd-Iout*Rdc</f>
        <v>7.002889793243028</v>
      </c>
      <c r="C85" s="190"/>
      <c r="D85" s="191"/>
      <c r="E85" s="193" t="s">
        <v>5</v>
      </c>
      <c r="F85" s="6"/>
      <c r="G85" s="3"/>
      <c r="H85" s="3"/>
      <c r="I85" s="3"/>
      <c r="J85" s="3"/>
      <c r="K85" s="3"/>
      <c r="L85" s="3"/>
      <c r="M85" s="6"/>
      <c r="N85" s="3"/>
    </row>
    <row r="86" spans="4:6" ht="12.75">
      <c r="D86" s="3"/>
      <c r="E86" s="68"/>
      <c r="F86" s="3"/>
    </row>
    <row r="87" spans="1:7" ht="15">
      <c r="A87" s="160" t="s">
        <v>267</v>
      </c>
      <c r="B87" s="6" t="s">
        <v>12</v>
      </c>
      <c r="D87" s="3"/>
      <c r="E87" s="67" t="s">
        <v>11</v>
      </c>
      <c r="F87" s="2" t="s">
        <v>292</v>
      </c>
      <c r="G87" s="198"/>
    </row>
    <row r="88" spans="1:6" ht="12.75">
      <c r="A88" s="161" t="s">
        <v>6</v>
      </c>
      <c r="B88" s="178">
        <v>0.3</v>
      </c>
      <c r="F88" s="23"/>
    </row>
    <row r="89" spans="1:6" ht="12.75">
      <c r="A89" s="155" t="s">
        <v>114</v>
      </c>
      <c r="B89" s="212">
        <f>((Vin_max-Vout)/(Iout*Kind))*(Vout/(Vin_max*fsw))*10^6</f>
        <v>7.2751322751322745</v>
      </c>
      <c r="C89" s="62"/>
      <c r="E89" s="69" t="s">
        <v>237</v>
      </c>
      <c r="F89" s="154" t="s">
        <v>158</v>
      </c>
    </row>
    <row r="90" spans="1:6" ht="12.75">
      <c r="A90" s="161" t="s">
        <v>9</v>
      </c>
      <c r="B90" s="179">
        <f>B89</f>
        <v>7.2751322751322745</v>
      </c>
      <c r="C90" s="187"/>
      <c r="D90" s="10"/>
      <c r="E90" s="69" t="s">
        <v>237</v>
      </c>
      <c r="F90" s="3"/>
    </row>
    <row r="91" spans="1:6" ht="12.75">
      <c r="A91" s="161" t="s">
        <v>24</v>
      </c>
      <c r="B91" s="179">
        <v>26</v>
      </c>
      <c r="C91" s="3"/>
      <c r="D91" s="3"/>
      <c r="E91" s="68" t="s">
        <v>231</v>
      </c>
      <c r="F91" s="3"/>
    </row>
    <row r="92" spans="1:6" ht="12.75">
      <c r="A92" s="155" t="s">
        <v>295</v>
      </c>
      <c r="B92" s="215">
        <f>Vout*(Vin_max-Vout)/(Vin_max*L*fsw)</f>
        <v>1.05</v>
      </c>
      <c r="C92" s="215">
        <f>Vout*(Vin_nom-Vout)/(Vin_nom*L*fsw)</f>
        <v>0.6681818181818183</v>
      </c>
      <c r="D92" s="215">
        <f>Vout*(Vin_min-Vout)/(Vin_min*L*fsw)</f>
        <v>0.4716577540106953</v>
      </c>
      <c r="E92" s="68" t="s">
        <v>4</v>
      </c>
      <c r="F92" s="21" t="s">
        <v>159</v>
      </c>
    </row>
    <row r="93" spans="1:6" ht="12.75">
      <c r="A93" s="155" t="s">
        <v>296</v>
      </c>
      <c r="B93" s="215">
        <f>(Iout^2+((1/12)*(Vout*(Vin_max-Vout))/(Vin_max*fsw*L))^2)^0.5</f>
        <v>3.5010935791549476</v>
      </c>
      <c r="C93" s="215">
        <f>(Iout^2+((1/12)*(Vout*(Vin_nom-Vout))/(Vin_nom*fsw*L))^2)^0.5</f>
        <v>3.5004428955313687</v>
      </c>
      <c r="D93" s="215">
        <f>(Iout^2+((1/12)*(Vout*(Vin_min-Vout))/(Vin_min*fsw*L))^2)^0.5</f>
        <v>3.5002206885155016</v>
      </c>
      <c r="E93" s="68" t="s">
        <v>4</v>
      </c>
      <c r="F93" s="21" t="s">
        <v>160</v>
      </c>
    </row>
    <row r="94" spans="1:6" ht="12.75">
      <c r="A94" s="155" t="s">
        <v>297</v>
      </c>
      <c r="B94" s="215">
        <f>B93+Iripple/2</f>
        <v>4.0260935791549475</v>
      </c>
      <c r="C94" s="215">
        <f>C93+C92/2</f>
        <v>3.8345338046222777</v>
      </c>
      <c r="D94" s="215">
        <f>D93+D92/2</f>
        <v>3.736049565520849</v>
      </c>
      <c r="E94" s="68" t="s">
        <v>4</v>
      </c>
      <c r="F94" s="21" t="s">
        <v>161</v>
      </c>
    </row>
    <row r="95" spans="1:6" ht="12.75">
      <c r="A95" s="155" t="s">
        <v>298</v>
      </c>
      <c r="B95" s="215">
        <f>Vout*(1-Vout/Vin_max)/(2*L*fsw)</f>
        <v>0.525</v>
      </c>
      <c r="C95" s="215">
        <f>Vout*(1-Vout/Vin_nom)/(2*L*fsw)</f>
        <v>0.33409090909090905</v>
      </c>
      <c r="D95" s="215">
        <f>Vout*(1-Vout/Vin_min)/(2*L*fsw)</f>
        <v>0.2358288770053476</v>
      </c>
      <c r="E95" s="68" t="s">
        <v>4</v>
      </c>
      <c r="F95" s="3"/>
    </row>
    <row r="96" spans="1:6" ht="12.75">
      <c r="A96" s="155" t="s">
        <v>299</v>
      </c>
      <c r="B96" s="71">
        <f>Vin_max*fsw*ton_min^2*(Vin_max-Vout)/(2*L*Vout)</f>
        <v>0.4960116000000002</v>
      </c>
      <c r="C96" s="71">
        <f>Vin_nom*fsw*ton_min^2*(Vin_nom-Vout)/(2*L*Vout)</f>
        <v>0.012625749818181821</v>
      </c>
      <c r="D96" s="71">
        <f>Vin_min*fsw*ton_min^2*(Vin_min-Vout)/(2*L*Vout)</f>
        <v>0.0044716197272727295</v>
      </c>
      <c r="E96" s="68" t="s">
        <v>4</v>
      </c>
      <c r="F96" s="3"/>
    </row>
    <row r="97" spans="5:6" ht="12.75">
      <c r="E97" s="68"/>
      <c r="F97" s="3"/>
    </row>
    <row r="98" spans="1:14" ht="15">
      <c r="A98" s="160" t="s">
        <v>266</v>
      </c>
      <c r="B98" s="6" t="s">
        <v>12</v>
      </c>
      <c r="D98" s="3"/>
      <c r="E98" s="67" t="s">
        <v>11</v>
      </c>
      <c r="F98" s="2" t="s">
        <v>292</v>
      </c>
      <c r="G98" s="3"/>
      <c r="H98" s="6"/>
      <c r="I98" s="6"/>
      <c r="J98" s="3"/>
      <c r="K98" s="3"/>
      <c r="L98" s="67"/>
      <c r="M98" s="6"/>
      <c r="N98" s="3"/>
    </row>
    <row r="99" spans="1:14" ht="12.75">
      <c r="A99" s="161" t="s">
        <v>29</v>
      </c>
      <c r="B99" s="12">
        <f>Vout*(Vin_max-Vout)/(12^0.5*Vin_max*L*fsw)</f>
        <v>0.30310889132455365</v>
      </c>
      <c r="C99" s="5"/>
      <c r="D99" s="5"/>
      <c r="E99" s="69" t="s">
        <v>4</v>
      </c>
      <c r="F99" s="21" t="s">
        <v>162</v>
      </c>
      <c r="G99" s="3"/>
      <c r="H99" s="3"/>
      <c r="I99" s="82"/>
      <c r="J99" s="26"/>
      <c r="K99" s="3"/>
      <c r="L99" s="3"/>
      <c r="M99" s="3"/>
      <c r="N99" s="3"/>
    </row>
    <row r="100" spans="1:14" ht="12.75">
      <c r="A100" s="155" t="s">
        <v>109</v>
      </c>
      <c r="B100" s="183">
        <f>0.75*Iout</f>
        <v>2.625</v>
      </c>
      <c r="C100" s="5"/>
      <c r="D100" s="5"/>
      <c r="E100" s="69" t="s">
        <v>4</v>
      </c>
      <c r="F100" s="3"/>
      <c r="G100" s="3"/>
      <c r="H100" s="3"/>
      <c r="I100" s="82"/>
      <c r="J100" s="3"/>
      <c r="K100" s="3"/>
      <c r="L100" s="3"/>
      <c r="M100" s="3"/>
      <c r="N100" s="3"/>
    </row>
    <row r="101" spans="1:14" ht="12.75">
      <c r="A101" s="155" t="s">
        <v>110</v>
      </c>
      <c r="B101" s="183">
        <f>0.25*Iout</f>
        <v>0.875</v>
      </c>
      <c r="C101" s="5"/>
      <c r="D101" s="5"/>
      <c r="E101" s="69" t="s">
        <v>4</v>
      </c>
      <c r="F101" s="3"/>
      <c r="G101" s="3"/>
      <c r="H101" s="3"/>
      <c r="I101" s="82"/>
      <c r="J101" s="3"/>
      <c r="K101" s="3"/>
      <c r="L101" s="3"/>
      <c r="M101" s="3"/>
      <c r="N101" s="3"/>
    </row>
    <row r="102" spans="1:14" ht="12.75">
      <c r="A102" s="161" t="s">
        <v>30</v>
      </c>
      <c r="B102" s="212">
        <f>2*dI/(fsw*dV)*10^6</f>
        <v>29.166666666666668</v>
      </c>
      <c r="C102" s="4"/>
      <c r="D102" s="3"/>
      <c r="E102" s="69" t="s">
        <v>230</v>
      </c>
      <c r="F102" s="21" t="s">
        <v>163</v>
      </c>
      <c r="G102" s="3"/>
      <c r="H102" s="3"/>
      <c r="I102" s="82"/>
      <c r="J102" s="3"/>
      <c r="K102" s="3"/>
      <c r="L102" s="3"/>
      <c r="M102" s="3"/>
      <c r="N102" s="3"/>
    </row>
    <row r="103" spans="1:14" ht="12.75">
      <c r="A103" s="161" t="s">
        <v>31</v>
      </c>
      <c r="B103" s="212">
        <f>L*((IOH)^2-IOL^2)/((Vout+dV)^2-(Vout)^2)*10^6</f>
        <v>21.84322803195349</v>
      </c>
      <c r="C103" s="4"/>
      <c r="D103" s="3"/>
      <c r="E103" s="69" t="s">
        <v>230</v>
      </c>
      <c r="F103" s="21" t="s">
        <v>164</v>
      </c>
      <c r="G103" s="3"/>
      <c r="H103" s="3"/>
      <c r="I103" s="82"/>
      <c r="J103" s="3"/>
      <c r="K103" s="3"/>
      <c r="L103" s="3"/>
      <c r="M103" s="10"/>
      <c r="N103" s="3"/>
    </row>
    <row r="104" spans="1:14" ht="12.75">
      <c r="A104" s="161" t="s">
        <v>32</v>
      </c>
      <c r="B104" s="212">
        <f>1/(8*fsw*(Vripple/Iripple))*10^6</f>
        <v>8.750000000000002</v>
      </c>
      <c r="C104" s="4"/>
      <c r="D104" s="3"/>
      <c r="E104" s="69" t="s">
        <v>230</v>
      </c>
      <c r="F104" s="21" t="s">
        <v>165</v>
      </c>
      <c r="G104" s="3"/>
      <c r="H104" s="3"/>
      <c r="I104" s="82"/>
      <c r="J104" s="3"/>
      <c r="K104" s="3"/>
      <c r="L104" s="3"/>
      <c r="M104" s="10"/>
      <c r="N104" s="3"/>
    </row>
    <row r="105" spans="1:14" ht="12.75">
      <c r="A105" s="155" t="s">
        <v>254</v>
      </c>
      <c r="B105" s="184">
        <v>1</v>
      </c>
      <c r="C105" s="4"/>
      <c r="D105" s="3"/>
      <c r="E105" s="69"/>
      <c r="F105" s="21"/>
      <c r="G105" s="3"/>
      <c r="H105" s="3"/>
      <c r="I105" s="3"/>
      <c r="J105" s="3"/>
      <c r="K105" s="3"/>
      <c r="L105" s="22"/>
      <c r="M105" s="3"/>
      <c r="N105" s="3"/>
    </row>
    <row r="106" spans="1:14" ht="12.75">
      <c r="A106" s="161" t="s">
        <v>15</v>
      </c>
      <c r="B106" s="216">
        <f>MAX(B102:B104)</f>
        <v>29.166666666666668</v>
      </c>
      <c r="C106" s="9"/>
      <c r="D106" s="3"/>
      <c r="E106" s="69" t="s">
        <v>230</v>
      </c>
      <c r="F106" s="21"/>
      <c r="G106" s="3"/>
      <c r="H106" s="3"/>
      <c r="I106" s="3"/>
      <c r="J106" s="3"/>
      <c r="K106" s="3"/>
      <c r="L106" s="22"/>
      <c r="M106" s="3"/>
      <c r="N106" s="3"/>
    </row>
    <row r="107" spans="1:14" ht="12.75">
      <c r="A107" s="161" t="s">
        <v>107</v>
      </c>
      <c r="B107" s="20">
        <f>Co_derating*Co_selected</f>
        <v>29.166666666666668</v>
      </c>
      <c r="C107" s="1"/>
      <c r="D107" s="3"/>
      <c r="E107" s="69" t="s">
        <v>230</v>
      </c>
      <c r="F107" s="6" t="s">
        <v>272</v>
      </c>
      <c r="G107" s="3"/>
      <c r="H107" s="6"/>
      <c r="I107" s="6"/>
      <c r="J107" s="3"/>
      <c r="K107" s="3"/>
      <c r="L107" s="6"/>
      <c r="M107" s="3"/>
      <c r="N107" s="3"/>
    </row>
    <row r="108" spans="1:14" ht="12.75">
      <c r="A108" s="155" t="s">
        <v>8</v>
      </c>
      <c r="B108" s="12">
        <f>Vripple/Iripple</f>
        <v>0.023809523809523808</v>
      </c>
      <c r="D108" s="3"/>
      <c r="E108" s="66" t="s">
        <v>156</v>
      </c>
      <c r="F108" s="21" t="s">
        <v>166</v>
      </c>
      <c r="G108" s="3"/>
      <c r="H108" s="3"/>
      <c r="I108" s="4"/>
      <c r="J108" s="3"/>
      <c r="K108" s="3"/>
      <c r="L108" s="3"/>
      <c r="M108" s="83"/>
      <c r="N108" s="3"/>
    </row>
    <row r="109" spans="1:14" ht="12.75">
      <c r="A109" s="161" t="s">
        <v>18</v>
      </c>
      <c r="B109" s="185">
        <f>0.005</f>
        <v>0.005</v>
      </c>
      <c r="D109" s="3"/>
      <c r="E109" s="66" t="s">
        <v>156</v>
      </c>
      <c r="F109" s="3"/>
      <c r="G109" s="4"/>
      <c r="H109" s="21"/>
      <c r="I109" s="4"/>
      <c r="J109" s="4"/>
      <c r="K109" s="4"/>
      <c r="L109" s="3"/>
      <c r="M109" s="83"/>
      <c r="N109" s="3"/>
    </row>
    <row r="110" spans="4:14" ht="12.75">
      <c r="D110" s="3"/>
      <c r="E110" s="66"/>
      <c r="F110" s="3"/>
      <c r="G110" s="4"/>
      <c r="H110" s="3"/>
      <c r="I110" s="4"/>
      <c r="J110" s="4"/>
      <c r="K110" s="3"/>
      <c r="L110" s="22"/>
      <c r="M110" s="3"/>
      <c r="N110" s="3"/>
    </row>
    <row r="111" spans="1:14" ht="15">
      <c r="A111" s="160" t="s">
        <v>265</v>
      </c>
      <c r="B111" s="6" t="s">
        <v>12</v>
      </c>
      <c r="D111" s="3"/>
      <c r="E111" s="67" t="s">
        <v>11</v>
      </c>
      <c r="F111" s="2" t="s">
        <v>292</v>
      </c>
      <c r="G111" s="3"/>
      <c r="H111" s="3"/>
      <c r="I111" s="84"/>
      <c r="J111" s="3"/>
      <c r="K111" s="3"/>
      <c r="L111" s="22"/>
      <c r="M111" s="3"/>
      <c r="N111" s="3"/>
    </row>
    <row r="112" spans="1:14" ht="12.75">
      <c r="A112" s="161" t="s">
        <v>108</v>
      </c>
      <c r="B112" s="183">
        <v>0.65</v>
      </c>
      <c r="D112" s="3"/>
      <c r="E112" s="66" t="s">
        <v>5</v>
      </c>
      <c r="F112" s="3"/>
      <c r="G112" s="3"/>
      <c r="H112" s="3"/>
      <c r="I112" s="85"/>
      <c r="J112" s="85"/>
      <c r="K112" s="85"/>
      <c r="L112" s="22"/>
      <c r="M112" s="3"/>
      <c r="N112" s="3"/>
    </row>
    <row r="113" spans="1:14" ht="12.75">
      <c r="A113" s="155" t="s">
        <v>111</v>
      </c>
      <c r="B113" s="217">
        <f>0.0000000003*10^12</f>
        <v>300</v>
      </c>
      <c r="E113" s="21" t="s">
        <v>238</v>
      </c>
      <c r="F113" s="21"/>
      <c r="G113" s="3"/>
      <c r="H113" s="3"/>
      <c r="I113" s="85"/>
      <c r="J113" s="85"/>
      <c r="K113" s="85"/>
      <c r="L113" s="22"/>
      <c r="M113" s="3"/>
      <c r="N113" s="3"/>
    </row>
    <row r="114" spans="1:14" ht="12.75">
      <c r="A114" s="155" t="s">
        <v>300</v>
      </c>
      <c r="B114" s="88">
        <f>(Vin_nom-Vout)*Iout*Vd/Vin_nom+Cj*fsw*(Vin_nom+Vd)^2/2</f>
        <v>1.3414853583333335</v>
      </c>
      <c r="C114" s="14">
        <f>(Vin_max-Vout)*Iout*Vd/Vin_max+Cj*fsw*(Vin_max+Vd)^2/2</f>
        <v>2.4164746916666666</v>
      </c>
      <c r="D114" s="88">
        <f>(Vin_min-Vout)*Iout*Vd/Vin_min+Cj*fsw*(Vin_min+Vd)^2/2</f>
        <v>0.944299730882353</v>
      </c>
      <c r="E114" s="69" t="s">
        <v>113</v>
      </c>
      <c r="F114" s="21" t="s">
        <v>167</v>
      </c>
      <c r="G114" s="21"/>
      <c r="H114" s="3"/>
      <c r="I114" s="85"/>
      <c r="J114" s="85"/>
      <c r="K114" s="85"/>
      <c r="L114" s="22"/>
      <c r="M114" s="3"/>
      <c r="N114" s="3"/>
    </row>
    <row r="115" spans="4:14" ht="12.75">
      <c r="D115" s="3"/>
      <c r="E115" s="66"/>
      <c r="F115" s="3"/>
      <c r="G115" s="23"/>
      <c r="H115" s="3"/>
      <c r="I115" s="85"/>
      <c r="J115" s="85"/>
      <c r="K115" s="85"/>
      <c r="L115" s="22"/>
      <c r="M115" s="3"/>
      <c r="N115" s="3"/>
    </row>
    <row r="116" spans="1:14" ht="15">
      <c r="A116" s="160" t="s">
        <v>275</v>
      </c>
      <c r="B116" s="6" t="s">
        <v>12</v>
      </c>
      <c r="D116" s="3"/>
      <c r="E116" s="67" t="s">
        <v>11</v>
      </c>
      <c r="F116" s="2" t="s">
        <v>292</v>
      </c>
      <c r="G116" s="3"/>
      <c r="H116" s="3"/>
      <c r="I116" s="85"/>
      <c r="J116" s="85"/>
      <c r="K116" s="85"/>
      <c r="L116" s="22"/>
      <c r="M116" s="3"/>
      <c r="N116" s="3"/>
    </row>
    <row r="117" spans="1:14" ht="12.75">
      <c r="A117" s="161" t="s">
        <v>10</v>
      </c>
      <c r="B117" s="14">
        <f>Iout*((Vout/Vin_min)*(Vin_min-Vout)/Vin_min)^0.5</f>
        <v>1.7225353487466262</v>
      </c>
      <c r="D117" s="3"/>
      <c r="E117" s="66" t="s">
        <v>4</v>
      </c>
      <c r="F117" s="21" t="s">
        <v>168</v>
      </c>
      <c r="G117" s="3"/>
      <c r="H117" s="5"/>
      <c r="I117" s="85"/>
      <c r="J117" s="85"/>
      <c r="K117" s="85"/>
      <c r="L117" s="22"/>
      <c r="M117" s="3"/>
      <c r="N117" s="3"/>
    </row>
    <row r="118" spans="1:14" ht="12.75">
      <c r="A118" s="155" t="s">
        <v>290</v>
      </c>
      <c r="B118" s="182">
        <f>0.005*Vin_nom*10^3</f>
        <v>60</v>
      </c>
      <c r="D118" s="3"/>
      <c r="E118" s="69" t="s">
        <v>239</v>
      </c>
      <c r="F118" s="21"/>
      <c r="G118" s="3"/>
      <c r="H118" s="6"/>
      <c r="I118" s="6"/>
      <c r="J118" s="3"/>
      <c r="K118" s="3"/>
      <c r="L118" s="6"/>
      <c r="M118" s="3"/>
      <c r="N118" s="3"/>
    </row>
    <row r="119" spans="1:14" ht="12.75">
      <c r="A119" s="155" t="s">
        <v>170</v>
      </c>
      <c r="B119" s="212">
        <f>(Iout*0.25)/(Vinripple*fsw)*10^6</f>
        <v>24.305555555555554</v>
      </c>
      <c r="D119" s="3"/>
      <c r="E119" s="69" t="s">
        <v>230</v>
      </c>
      <c r="G119" s="3"/>
      <c r="H119" s="21"/>
      <c r="I119" s="5"/>
      <c r="J119" s="5"/>
      <c r="K119" s="5"/>
      <c r="L119" s="21"/>
      <c r="M119" s="3"/>
      <c r="N119" s="3"/>
    </row>
    <row r="120" spans="1:14" ht="12.75">
      <c r="A120" s="155" t="s">
        <v>291</v>
      </c>
      <c r="B120" s="216">
        <f>2.2*2</f>
        <v>4.4</v>
      </c>
      <c r="C120" s="8"/>
      <c r="D120" s="3"/>
      <c r="E120" s="69" t="s">
        <v>230</v>
      </c>
      <c r="F120" s="21"/>
      <c r="G120" s="3"/>
      <c r="H120" s="21"/>
      <c r="I120" s="5"/>
      <c r="J120" s="5"/>
      <c r="K120" s="5"/>
      <c r="L120" s="21"/>
      <c r="M120" s="3"/>
      <c r="N120" s="3"/>
    </row>
    <row r="121" spans="1:14" ht="12.75">
      <c r="A121" s="155" t="s">
        <v>112</v>
      </c>
      <c r="B121" s="218">
        <f>(Iout*0.25)/(Cin*fsw)*10^3</f>
        <v>331.43939393939394</v>
      </c>
      <c r="D121" s="3"/>
      <c r="E121" s="69" t="s">
        <v>239</v>
      </c>
      <c r="F121" s="21" t="s">
        <v>169</v>
      </c>
      <c r="G121" s="3"/>
      <c r="H121" s="21"/>
      <c r="I121" s="5"/>
      <c r="J121" s="5"/>
      <c r="K121" s="5"/>
      <c r="L121" s="21"/>
      <c r="M121" s="3"/>
      <c r="N121" s="3"/>
    </row>
    <row r="122" spans="4:14" ht="12.75">
      <c r="D122" s="3"/>
      <c r="E122" s="69"/>
      <c r="F122" s="3"/>
      <c r="G122" s="3"/>
      <c r="H122" s="3"/>
      <c r="I122" s="4"/>
      <c r="J122" s="3"/>
      <c r="K122" s="3"/>
      <c r="L122" s="21"/>
      <c r="M122" s="21"/>
      <c r="N122" s="3"/>
    </row>
    <row r="123" spans="1:14" ht="15">
      <c r="A123" s="160" t="s">
        <v>263</v>
      </c>
      <c r="B123" s="6" t="s">
        <v>12</v>
      </c>
      <c r="D123" s="3"/>
      <c r="E123" s="67" t="s">
        <v>11</v>
      </c>
      <c r="F123" s="2" t="s">
        <v>292</v>
      </c>
      <c r="G123" s="3"/>
      <c r="H123" s="3"/>
      <c r="I123" s="4"/>
      <c r="J123" s="3"/>
      <c r="K123" s="3"/>
      <c r="L123" s="21"/>
      <c r="M123" s="21"/>
      <c r="N123" s="3"/>
    </row>
    <row r="124" spans="1:14" ht="25.5">
      <c r="A124" s="155" t="s">
        <v>154</v>
      </c>
      <c r="B124" s="20">
        <f>(Vstart-Vstop)/(Ihys)/1000</f>
        <v>514.7058823529412</v>
      </c>
      <c r="C124" s="153">
        <f>(IF((10^(LOG(B124)-INT(LOG(B124)))*100)-VLOOKUP((10^(LOG(B124)-INT(LOG(B124)))*100),E96_s:E96_f,1)&lt;VLOOKUP((10^(LOG(B124)-INT(LOG(B124)))*100),E96_s:E96_f,2)-(10^(LOG(B124)-INT(LOG(B124)))*100),VLOOKUP((10^(LOG(B124)-INT(LOG(B124)))*100),E96_s:E96_f,1),VLOOKUP((10^(LOG(B124)-INT(LOG(B124)))*100),E96_s:E96_f,2)))*10^INT(LOG(B124))/100</f>
        <v>511</v>
      </c>
      <c r="D124" s="10"/>
      <c r="E124" s="69" t="s">
        <v>157</v>
      </c>
      <c r="F124" s="21" t="s">
        <v>171</v>
      </c>
      <c r="G124" s="3"/>
      <c r="H124" s="3"/>
      <c r="I124" s="4"/>
      <c r="J124" s="3"/>
      <c r="K124" s="3"/>
      <c r="L124" s="21"/>
      <c r="M124" s="21"/>
      <c r="N124" s="3"/>
    </row>
    <row r="125" spans="1:14" ht="12.75">
      <c r="A125" s="155" t="s">
        <v>102</v>
      </c>
      <c r="B125" s="182">
        <f>C124</f>
        <v>511</v>
      </c>
      <c r="D125" s="10"/>
      <c r="E125" s="69" t="s">
        <v>157</v>
      </c>
      <c r="F125" s="3"/>
      <c r="G125" s="3"/>
      <c r="H125" s="3"/>
      <c r="I125" s="4"/>
      <c r="J125" s="3"/>
      <c r="K125" s="3"/>
      <c r="L125" s="21"/>
      <c r="M125" s="21"/>
      <c r="N125" s="3"/>
    </row>
    <row r="126" spans="1:14" ht="12.75">
      <c r="A126" s="225" t="s">
        <v>155</v>
      </c>
      <c r="B126" s="212">
        <f>Vena/((Vstart-Vena)/Ruvlo1+I_1)/1000</f>
        <v>82.71731505962337</v>
      </c>
      <c r="C126" s="153">
        <f>(IF((10^(LOG(B126)-INT(LOG(B126)))*100)-VLOOKUP((10^(LOG(B126)-INT(LOG(B126)))*100),E96_s:E96_f,1)&lt;VLOOKUP((10^(LOG(B126)-INT(LOG(B126)))*100),E96_s:E96_f,2)-(10^(LOG(B126)-INT(LOG(B126)))*100),VLOOKUP((10^(LOG(B126)-INT(LOG(B126)))*100),E96_s:E96_f,1),VLOOKUP((10^(LOG(B126)-INT(LOG(B126)))*100),E96_s:E96_f,2)))*10^INT(LOG(B126))/100</f>
        <v>82.5</v>
      </c>
      <c r="D126" s="10"/>
      <c r="E126" s="69" t="s">
        <v>157</v>
      </c>
      <c r="F126" s="21" t="s">
        <v>172</v>
      </c>
      <c r="G126" s="3"/>
      <c r="H126" s="3"/>
      <c r="I126" s="4"/>
      <c r="J126" s="3"/>
      <c r="K126" s="3"/>
      <c r="L126" s="21"/>
      <c r="M126" s="21"/>
      <c r="N126" s="3"/>
    </row>
    <row r="127" spans="1:14" ht="12.75">
      <c r="A127" s="161" t="s">
        <v>103</v>
      </c>
      <c r="B127" s="179">
        <f>C126</f>
        <v>82.5</v>
      </c>
      <c r="D127" s="3"/>
      <c r="E127" s="69" t="s">
        <v>157</v>
      </c>
      <c r="F127" s="6"/>
      <c r="G127" s="3"/>
      <c r="H127" s="3"/>
      <c r="I127" s="4"/>
      <c r="J127" s="3"/>
      <c r="K127" s="3"/>
      <c r="L127" s="3"/>
      <c r="M127" s="6"/>
      <c r="N127" s="3"/>
    </row>
    <row r="128" spans="1:14" ht="12.75">
      <c r="A128" s="155" t="s">
        <v>117</v>
      </c>
      <c r="B128" s="14">
        <f>Vena+Ruvlo1*(Vena-I_1*Ruvlo2)/Ruvlo2</f>
        <v>8.019527272727272</v>
      </c>
      <c r="E128" s="70" t="s">
        <v>5</v>
      </c>
      <c r="F128" s="21" t="s">
        <v>174</v>
      </c>
      <c r="G128" s="3"/>
      <c r="H128" s="3"/>
      <c r="I128" s="86"/>
      <c r="J128" s="3"/>
      <c r="K128" s="3"/>
      <c r="L128" s="3"/>
      <c r="M128" s="21"/>
      <c r="N128" s="3"/>
    </row>
    <row r="129" spans="1:14" ht="12.75">
      <c r="A129" s="155" t="s">
        <v>116</v>
      </c>
      <c r="B129" s="14">
        <f>B128-Ihys*Ruvlo1</f>
        <v>6.282127272727272</v>
      </c>
      <c r="D129" s="3"/>
      <c r="E129" s="69" t="s">
        <v>5</v>
      </c>
      <c r="F129" s="21" t="s">
        <v>173</v>
      </c>
      <c r="G129" s="3"/>
      <c r="H129" s="3"/>
      <c r="I129" s="87"/>
      <c r="J129" s="3"/>
      <c r="K129" s="3"/>
      <c r="L129" s="3"/>
      <c r="M129" s="3"/>
      <c r="N129" s="3"/>
    </row>
    <row r="130" spans="1:14" ht="12.75" hidden="1">
      <c r="A130" s="155" t="s">
        <v>248</v>
      </c>
      <c r="B130" s="88">
        <f>Vin_max*Ruvlo2/(Ruvlo1+Ruvlo2)</f>
        <v>8.340353833192923</v>
      </c>
      <c r="E130" s="70" t="s">
        <v>5</v>
      </c>
      <c r="F130" s="21" t="s">
        <v>175</v>
      </c>
      <c r="G130" s="3"/>
      <c r="H130" s="3"/>
      <c r="I130" s="3"/>
      <c r="J130" s="3"/>
      <c r="K130" s="3"/>
      <c r="L130" s="3"/>
      <c r="M130" s="3"/>
      <c r="N130" s="3"/>
    </row>
    <row r="131" spans="1:14" ht="12.75">
      <c r="A131" s="155"/>
      <c r="B131" s="26"/>
      <c r="E131" s="70"/>
      <c r="F131" s="3"/>
      <c r="G131" s="3"/>
      <c r="H131" s="3"/>
      <c r="I131" s="3"/>
      <c r="J131" s="3"/>
      <c r="K131" s="3"/>
      <c r="L131" s="3"/>
      <c r="M131" s="3"/>
      <c r="N131" s="3"/>
    </row>
    <row r="132" spans="1:14" ht="15">
      <c r="A132" s="160" t="s">
        <v>264</v>
      </c>
      <c r="B132" s="6" t="s">
        <v>12</v>
      </c>
      <c r="D132" s="3"/>
      <c r="E132" s="67" t="s">
        <v>11</v>
      </c>
      <c r="F132" s="2" t="s">
        <v>292</v>
      </c>
      <c r="G132" s="3"/>
      <c r="H132" s="3"/>
      <c r="I132" s="26"/>
      <c r="J132" s="3"/>
      <c r="K132" s="3"/>
      <c r="L132" s="3"/>
      <c r="M132" s="3"/>
      <c r="N132" s="3"/>
    </row>
    <row r="133" spans="1:14" ht="12.75">
      <c r="A133" s="155" t="s">
        <v>308</v>
      </c>
      <c r="B133" s="180">
        <v>10.2</v>
      </c>
      <c r="C133" s="219">
        <f>(IF((10^(LOG(B133)-INT(LOG(B133)))*100)-VLOOKUP((10^(LOG(B133)-INT(LOG(B133)))*100),E96_s:E96_f,1)&lt;VLOOKUP((10^(LOG(B133)-INT(LOG(B133)))*100),E96_s:E96_f,2)-(10^(LOG(B133)-INT(LOG(B133)))*100),VLOOKUP((10^(LOG(B133)-INT(LOG(B133)))*100),E96_s:E96_f,1),VLOOKUP((10^(LOG(B133)-INT(LOG(B133)))*100),E96_s:E96_f,2)))*10^INT(LOG(B133))/100</f>
        <v>10.2</v>
      </c>
      <c r="D133" s="3"/>
      <c r="E133" s="69" t="s">
        <v>157</v>
      </c>
      <c r="F133" s="3"/>
      <c r="G133" s="6"/>
      <c r="H133" s="3"/>
      <c r="I133" s="3"/>
      <c r="J133" s="3"/>
      <c r="K133" s="3"/>
      <c r="L133" s="3"/>
      <c r="M133" s="3"/>
      <c r="N133" s="3"/>
    </row>
    <row r="134" spans="1:14" ht="12.75">
      <c r="A134" s="155" t="s">
        <v>153</v>
      </c>
      <c r="B134" s="19">
        <f>Rls/1000*(Vout-Vref)/Vref</f>
        <v>53.54999999999999</v>
      </c>
      <c r="C134" s="219">
        <f>(IF((10^(LOG(B134)-INT(LOG(B134)))*100)-VLOOKUP((10^(LOG(B134)-INT(LOG(B134)))*100),E96_s:E96_f,1)&lt;VLOOKUP((10^(LOG(B134)-INT(LOG(B134)))*100),E96_s:E96_f,2)-(10^(LOG(B134)-INT(LOG(B134)))*100),VLOOKUP((10^(LOG(B134)-INT(LOG(B134)))*100),E96_s:E96_f,1),VLOOKUP((10^(LOG(B134)-INT(LOG(B134)))*100),E96_s:E96_f,2)))*10^INT(LOG(B134))/100</f>
        <v>53.6</v>
      </c>
      <c r="D134" s="3"/>
      <c r="E134" s="69" t="s">
        <v>157</v>
      </c>
      <c r="F134" s="21" t="s">
        <v>177</v>
      </c>
      <c r="G134" s="3"/>
      <c r="H134" s="3"/>
      <c r="I134" s="3"/>
      <c r="J134" s="3"/>
      <c r="K134" s="3"/>
      <c r="L134" s="3"/>
      <c r="M134" s="3"/>
      <c r="N134" s="3"/>
    </row>
    <row r="135" spans="1:14" ht="12.75">
      <c r="A135" s="161" t="s">
        <v>40</v>
      </c>
      <c r="B135" s="179">
        <f>C134</f>
        <v>53.6</v>
      </c>
      <c r="D135" s="3"/>
      <c r="E135" s="69" t="s">
        <v>157</v>
      </c>
      <c r="F135" s="3"/>
      <c r="G135" s="3"/>
      <c r="H135" s="6"/>
      <c r="I135" s="6"/>
      <c r="J135" s="3"/>
      <c r="K135" s="3"/>
      <c r="L135" s="6"/>
      <c r="M135" s="3"/>
      <c r="N135" s="3"/>
    </row>
    <row r="136" spans="1:14" ht="12.75">
      <c r="A136" s="161" t="s">
        <v>115</v>
      </c>
      <c r="B136" s="12">
        <f>0.8/(Rls/(Rhs+Rls))</f>
        <v>5.003921568627451</v>
      </c>
      <c r="D136" s="3"/>
      <c r="E136" s="69" t="s">
        <v>5</v>
      </c>
      <c r="F136" s="21" t="s">
        <v>176</v>
      </c>
      <c r="G136" s="3"/>
      <c r="H136" s="3"/>
      <c r="I136" s="4"/>
      <c r="J136" s="3"/>
      <c r="K136" s="3"/>
      <c r="L136" s="3"/>
      <c r="M136" s="21"/>
      <c r="N136" s="3"/>
    </row>
    <row r="137" spans="5:14" ht="12.75">
      <c r="E137" s="69"/>
      <c r="F137" s="3"/>
      <c r="G137" s="3"/>
      <c r="H137" s="3"/>
      <c r="I137" s="4"/>
      <c r="J137" s="3"/>
      <c r="K137" s="3"/>
      <c r="L137" s="3"/>
      <c r="M137" s="21"/>
      <c r="N137" s="3"/>
    </row>
    <row r="138" spans="1:14" s="8" customFormat="1" ht="15">
      <c r="A138" s="160" t="s">
        <v>262</v>
      </c>
      <c r="B138" s="6" t="s">
        <v>12</v>
      </c>
      <c r="D138" s="21"/>
      <c r="E138" s="67" t="s">
        <v>11</v>
      </c>
      <c r="F138" s="2" t="s">
        <v>292</v>
      </c>
      <c r="G138" s="21"/>
      <c r="H138" s="6"/>
      <c r="I138" s="21"/>
      <c r="J138" s="21"/>
      <c r="K138" s="21"/>
      <c r="L138" s="21"/>
      <c r="M138" s="21"/>
      <c r="N138" s="21"/>
    </row>
    <row r="139" spans="1:6" s="21" customFormat="1" ht="12.75">
      <c r="A139" s="213" t="s">
        <v>243</v>
      </c>
      <c r="B139" s="179">
        <v>3.5</v>
      </c>
      <c r="C139" s="213"/>
      <c r="D139" s="213"/>
      <c r="E139" s="213" t="s">
        <v>242</v>
      </c>
      <c r="F139" s="213"/>
    </row>
    <row r="140" spans="1:8" s="21" customFormat="1" ht="12.75">
      <c r="A140" s="213" t="s">
        <v>244</v>
      </c>
      <c r="B140" s="232" t="str">
        <f>IF(B189="internal ss","internal ss",tss*Iss/(Vref*0.8)*10^9)</f>
        <v>internal ss</v>
      </c>
      <c r="C140" s="231" t="e">
        <f>IF(B140*10^15&lt;10000,IF((10^(LOG(B140*10^15)-INT(LOG(B140*10^15))))-VLOOKUP((10^(LOG(B140*10^15)-INT(LOG(B140*10^15)))),c_s1:C_f1,1)&lt;VLOOKUP((10^(LOG(B140*10^15)-INT(LOG(B140*10^15)))),c_s1:C_f1,2)-(10^(LOG(B140*10^15)-INT(LOG(B140*10^15)))),VLOOKUP((10^(LOG(B140*10^15)-INT(LOG(B140*10^15)))),c_s1:C_f1,1),VLOOKUP((10^(LOG(B140*10^15)-INT(LOG(B140*10^15)))),c_s1:C_f1,2))*10^INT(LOG(B140*10^15)),IF((10^(LOG(B140*10^15)-INT(LOG(B140*10^15))))-VLOOKUP((10^(LOG(B140*10^15)-INT(LOG(B140*10^15)))),C_s2:C_f2,1)&lt;VLOOKUP((10^(LOG(B140*10^15)-INT(LOG(B140*10^15)))),C_s2:C_f2,2)-(10^(LOG(B140*10^15)-INT(LOG(B140*10^15)))),VLOOKUP((10^(LOG(B140*10^15)-INT(LOG(B140*10^15)))),C_s2:C_f2,1),VLOOKUP((10^(LOG(B140*10^15)-INT(LOG(B140*10^15)))),C_s2:C_f2,2))*10^INT(LOG(B140*10^15)))*10^-15</f>
        <v>#VALUE!</v>
      </c>
      <c r="D140" s="213"/>
      <c r="E140" s="213" t="s">
        <v>240</v>
      </c>
      <c r="F140" s="213"/>
      <c r="H140" s="6"/>
    </row>
    <row r="141" spans="1:8" s="21" customFormat="1" ht="12.75">
      <c r="A141" s="213" t="s">
        <v>245</v>
      </c>
      <c r="B141" s="179" t="e">
        <f>C140</f>
        <v>#VALUE!</v>
      </c>
      <c r="C141" s="213"/>
      <c r="D141" s="213"/>
      <c r="E141" s="213" t="s">
        <v>240</v>
      </c>
      <c r="F141" s="213"/>
      <c r="H141" s="6"/>
    </row>
    <row r="142" spans="1:14" s="8" customFormat="1" ht="12.75">
      <c r="A142" s="213" t="s">
        <v>243</v>
      </c>
      <c r="B142" s="231">
        <f>IF(B189="internal ss",1024/fsw*1000,Css*Vref*0.8/Iss*1000)</f>
        <v>1.7066666666666666</v>
      </c>
      <c r="C142" s="213"/>
      <c r="D142" s="213"/>
      <c r="E142" s="70" t="s">
        <v>242</v>
      </c>
      <c r="F142" s="213" t="s">
        <v>271</v>
      </c>
      <c r="G142" s="21"/>
      <c r="H142" s="21"/>
      <c r="I142" s="21"/>
      <c r="J142" s="21"/>
      <c r="K142" s="21"/>
      <c r="L142" s="21"/>
      <c r="M142" s="21"/>
      <c r="N142" s="21"/>
    </row>
    <row r="143" spans="1:14" ht="12.75">
      <c r="A143" s="213"/>
      <c r="B143" s="214"/>
      <c r="C143" s="214"/>
      <c r="D143" s="214"/>
      <c r="E143" s="70"/>
      <c r="F143" s="214"/>
      <c r="G143" s="3"/>
      <c r="H143" s="3"/>
      <c r="I143" s="83"/>
      <c r="J143" s="3"/>
      <c r="K143" s="10"/>
      <c r="L143" s="3"/>
      <c r="M143" s="3"/>
      <c r="N143" s="3"/>
    </row>
    <row r="144" spans="1:14" ht="15">
      <c r="A144" s="160" t="s">
        <v>274</v>
      </c>
      <c r="D144" s="3"/>
      <c r="E144" s="69"/>
      <c r="F144" s="3"/>
      <c r="G144" s="3"/>
      <c r="H144" s="3"/>
      <c r="I144" s="83"/>
      <c r="J144" s="3"/>
      <c r="K144" s="10"/>
      <c r="L144" s="3"/>
      <c r="M144" s="3"/>
      <c r="N144" s="3"/>
    </row>
    <row r="145" spans="1:14" ht="12.75">
      <c r="A145" s="7" t="s">
        <v>273</v>
      </c>
      <c r="B145" s="6" t="s">
        <v>12</v>
      </c>
      <c r="C145" s="3"/>
      <c r="D145" s="3"/>
      <c r="E145" s="67" t="s">
        <v>11</v>
      </c>
      <c r="F145" s="2" t="s">
        <v>292</v>
      </c>
      <c r="G145" s="3"/>
      <c r="H145" s="3"/>
      <c r="I145" s="83"/>
      <c r="J145" s="3"/>
      <c r="K145" s="10"/>
      <c r="L145" s="3"/>
      <c r="M145" s="3"/>
      <c r="N145" s="3"/>
    </row>
    <row r="146" spans="1:14" ht="12.75">
      <c r="A146" s="163" t="s">
        <v>33</v>
      </c>
      <c r="B146" s="12">
        <f>(Iout)/(2*PI()*Vout*Co)/1000</f>
        <v>3.819718634205488</v>
      </c>
      <c r="C146" s="26"/>
      <c r="D146" s="26"/>
      <c r="E146" s="64" t="s">
        <v>21</v>
      </c>
      <c r="F146" s="9" t="s">
        <v>199</v>
      </c>
      <c r="G146" s="3"/>
      <c r="H146" s="3"/>
      <c r="I146" s="83"/>
      <c r="J146" s="3"/>
      <c r="K146" s="3"/>
      <c r="L146" s="3"/>
      <c r="M146" s="6"/>
      <c r="N146" s="3"/>
    </row>
    <row r="147" spans="1:14" ht="12.75">
      <c r="A147" s="161" t="s">
        <v>34</v>
      </c>
      <c r="B147" s="20">
        <f>1/(2*PI()*Co*ESR)/1000</f>
        <v>1091.348181201568</v>
      </c>
      <c r="C147" s="3"/>
      <c r="D147" s="3"/>
      <c r="E147" s="64" t="s">
        <v>21</v>
      </c>
      <c r="F147" s="9" t="s">
        <v>200</v>
      </c>
      <c r="G147" s="3"/>
      <c r="H147" s="3"/>
      <c r="I147" s="26"/>
      <c r="J147" s="3"/>
      <c r="K147" s="3"/>
      <c r="L147" s="3"/>
      <c r="M147" s="3"/>
      <c r="N147" s="3"/>
    </row>
    <row r="148" spans="1:14" ht="12.75">
      <c r="A148" s="161" t="s">
        <v>19</v>
      </c>
      <c r="B148" s="212">
        <f>SQRT(fpole*fzero)/1000</f>
        <v>64.56502911129132</v>
      </c>
      <c r="C148" s="3"/>
      <c r="D148" s="3"/>
      <c r="E148" s="64" t="s">
        <v>21</v>
      </c>
      <c r="F148" s="9" t="s">
        <v>201</v>
      </c>
      <c r="G148" s="3"/>
      <c r="H148" s="3"/>
      <c r="I148" s="26"/>
      <c r="J148" s="3"/>
      <c r="K148" s="3"/>
      <c r="L148" s="9"/>
      <c r="M148" s="3"/>
      <c r="N148" s="3"/>
    </row>
    <row r="149" spans="1:7" ht="12.75">
      <c r="A149" s="161" t="s">
        <v>20</v>
      </c>
      <c r="B149" s="212">
        <f>SQRT(fpole*(fsw/2))/1000</f>
        <v>33.851375012865375</v>
      </c>
      <c r="C149" s="3"/>
      <c r="D149" s="3"/>
      <c r="E149" s="64" t="s">
        <v>21</v>
      </c>
      <c r="F149" s="9" t="s">
        <v>202</v>
      </c>
      <c r="G149" s="3"/>
    </row>
    <row r="150" spans="1:14" ht="12.75">
      <c r="A150" s="161" t="s">
        <v>26</v>
      </c>
      <c r="B150" s="179">
        <f>MIN(B148:B149)</f>
        <v>33.851375012865375</v>
      </c>
      <c r="C150" s="3"/>
      <c r="D150" s="3"/>
      <c r="E150" s="70" t="s">
        <v>21</v>
      </c>
      <c r="F150" s="3"/>
      <c r="G150" s="3"/>
      <c r="H150" s="3"/>
      <c r="I150" s="3"/>
      <c r="J150" s="3"/>
      <c r="K150" s="3"/>
      <c r="L150" s="3"/>
      <c r="M150" s="3"/>
      <c r="N150" s="3"/>
    </row>
    <row r="151" spans="1:8" ht="12.75">
      <c r="A151" s="7" t="s">
        <v>14</v>
      </c>
      <c r="G151" s="3"/>
      <c r="H151" s="5"/>
    </row>
    <row r="152" spans="1:14" ht="12.75">
      <c r="A152" s="155" t="s">
        <v>149</v>
      </c>
      <c r="B152" s="14">
        <f>(2*PI()*fco*Co/gmps)*(Vout/(gmea*Vref))/1000</f>
        <v>9.231530473466227</v>
      </c>
      <c r="C152" s="219">
        <f>(IF((10^(LOG(B152)-INT(LOG(B152)))*100)-VLOOKUP((10^(LOG(B152)-INT(LOG(B152)))*100),E96_s:E96_f,1)&lt;VLOOKUP((10^(LOG(B152)-INT(LOG(B152)))*100),E96_s:E96_f,2)-(10^(LOG(B152)-INT(LOG(B152)))*100),VLOOKUP((10^(LOG(B152)-INT(LOG(B152)))*100),E96_s:E96_f,1),VLOOKUP((10^(LOG(B152)-INT(LOG(B152)))*100),E96_s:E96_f,2)))*10^INT(LOG(B152))/100</f>
        <v>9.31</v>
      </c>
      <c r="D152" s="4"/>
      <c r="E152" s="69" t="s">
        <v>157</v>
      </c>
      <c r="F152" s="8" t="s">
        <v>195</v>
      </c>
      <c r="G152" s="3"/>
      <c r="H152" s="3"/>
      <c r="I152" s="10"/>
      <c r="J152" s="3"/>
      <c r="K152" s="3"/>
      <c r="L152" s="3"/>
      <c r="M152" s="3"/>
      <c r="N152" s="3"/>
    </row>
    <row r="153" spans="1:14" ht="12.75">
      <c r="A153" s="161" t="s">
        <v>36</v>
      </c>
      <c r="B153" s="180">
        <f>C152</f>
        <v>9.31</v>
      </c>
      <c r="C153" s="3"/>
      <c r="D153" s="3"/>
      <c r="E153" s="69" t="s">
        <v>157</v>
      </c>
      <c r="G153" s="3"/>
      <c r="H153" s="6"/>
      <c r="I153" s="6"/>
      <c r="J153" s="3"/>
      <c r="K153" s="3"/>
      <c r="L153" s="6"/>
      <c r="M153" s="6"/>
      <c r="N153" s="3"/>
    </row>
    <row r="154" spans="1:14" ht="12.75">
      <c r="A154" s="155" t="s">
        <v>150</v>
      </c>
      <c r="B154" s="14">
        <f>1/(2*PI()*Rcomp*fpole)*10^9</f>
        <v>4.475474400286432</v>
      </c>
      <c r="C154" s="219">
        <f>IF(B154*10^15&lt;10000,IF((10^(LOG(B154*10^15)-INT(LOG(B154*10^15))))-VLOOKUP((10^(LOG(B154*10^15)-INT(LOG(B154*10^15)))),c_s1:C_f1,1)&lt;VLOOKUP((10^(LOG(B154*10^15)-INT(LOG(B154*10^15)))),c_s1:C_f1,2)-(10^(LOG(B154*10^15)-INT(LOG(B154*10^15)))),VLOOKUP((10^(LOG(B154*10^15)-INT(LOG(B154*10^15)))),c_s1:C_f1,1),VLOOKUP((10^(LOG(B154*10^15)-INT(LOG(B154*10^15)))),c_s1:C_f1,2))*10^INT(LOG(B154*10^15)),IF((10^(LOG(B154*10^15)-INT(LOG(B154*10^15))))-VLOOKUP((10^(LOG(B154*10^15)-INT(LOG(B154*10^15)))),C_s2:C_f2,1)&lt;VLOOKUP((10^(LOG(B154*10^15)-INT(LOG(B154*10^15)))),C_s2:C_f2,2)-(10^(LOG(B154*10^15)-INT(LOG(B154*10^15)))),VLOOKUP((10^(LOG(B154*10^15)-INT(LOG(B154*10^15)))),C_s2:C_f2,1),VLOOKUP((10^(LOG(B154*10^15)-INT(LOG(B154*10^15)))),C_s2:C_f2,2))*10^INT(LOG(B154*10^15)))*10^-15</f>
        <v>4.7</v>
      </c>
      <c r="D154" s="86"/>
      <c r="E154" s="69" t="s">
        <v>240</v>
      </c>
      <c r="F154" s="8" t="s">
        <v>196</v>
      </c>
      <c r="G154" s="3"/>
      <c r="H154" s="3"/>
      <c r="I154" s="10"/>
      <c r="J154" s="3"/>
      <c r="K154" s="3"/>
      <c r="L154" s="3"/>
      <c r="M154" s="3"/>
      <c r="N154" s="3"/>
    </row>
    <row r="155" spans="1:14" ht="12.75">
      <c r="A155" s="161" t="s">
        <v>38</v>
      </c>
      <c r="B155" s="180">
        <f>C154</f>
        <v>4.7</v>
      </c>
      <c r="C155" s="4"/>
      <c r="D155" s="3"/>
      <c r="E155" s="69" t="s">
        <v>240</v>
      </c>
      <c r="G155" s="3"/>
      <c r="H155" s="3"/>
      <c r="I155" s="3"/>
      <c r="J155" s="3"/>
      <c r="K155" s="3"/>
      <c r="L155" s="21"/>
      <c r="M155" s="3"/>
      <c r="N155" s="3"/>
    </row>
    <row r="156" spans="1:14" ht="12.75">
      <c r="A156" s="155" t="s">
        <v>151</v>
      </c>
      <c r="B156" s="14">
        <f>Co*ESR/Rcomp*10^12</f>
        <v>15.664160401002507</v>
      </c>
      <c r="C156" s="220">
        <f>IF(B156*10^12&lt;10000,IF((10^(LOG(B156*10^12)-INT(LOG(B156*10^12))))-VLOOKUP((10^(LOG(B156*10^12)-INT(LOG(B156*10^12)))),c_s1:C_f1,1)&lt;VLOOKUP((10^(LOG(B156*10^12)-INT(LOG(B156*10^12)))),c_s1:C_f1,2)-(10^(LOG(B156*10^12)-INT(LOG(B156*10^12)))),VLOOKUP((10^(LOG(B156*10^12)-INT(LOG(B156*10^12)))),c_s1:C_f1,1),VLOOKUP((10^(LOG(B156*10^12)-INT(LOG(B156*10^12)))),c_s1:C_f1,2))*10^INT(LOG(B156*10^12)),IF((10^(LOG(B156*10^12)-INT(LOG(B156*10^12))))-VLOOKUP((10^(LOG(B156*10^12)-INT(LOG(B156*10^12)))),C_s2:C_f2,1)&lt;VLOOKUP((10^(LOG(B156*10^12)-INT(LOG(B156*10^12)))),C_s2:C_f2,2)-(10^(LOG(B156*10^12)-INT(LOG(B156*10^12)))),VLOOKUP((10^(LOG(B156*10^12)-INT(LOG(B156*10^12)))),C_s2:C_f2,1),VLOOKUP((10^(LOG(B156*10^12)-INT(LOG(B156*10^12)))),C_s2:C_f2,2))*10^INT(LOG(B156*10^12)))*10^-12</f>
        <v>15</v>
      </c>
      <c r="D156" s="3"/>
      <c r="E156" s="69" t="s">
        <v>238</v>
      </c>
      <c r="F156" s="8" t="s">
        <v>197</v>
      </c>
      <c r="G156" s="3"/>
      <c r="H156" s="6"/>
      <c r="I156" s="6"/>
      <c r="J156" s="3"/>
      <c r="K156" s="3"/>
      <c r="L156" s="6"/>
      <c r="M156" s="6"/>
      <c r="N156" s="3"/>
    </row>
    <row r="157" spans="1:14" ht="12.75">
      <c r="A157" s="155" t="s">
        <v>152</v>
      </c>
      <c r="B157" s="212">
        <f>1/(Rcomp*PI()*fsw)*10^12</f>
        <v>56.9835098789457</v>
      </c>
      <c r="C157" s="220">
        <f>IF(B157*10^12&lt;10000,IF((10^(LOG(B157*10^12)-INT(LOG(B157*10^12))))-VLOOKUP((10^(LOG(B157*10^12)-INT(LOG(B157*10^12)))),c_s1:C_f1,1)&lt;VLOOKUP((10^(LOG(B157*10^12)-INT(LOG(B157*10^12)))),c_s1:C_f1,2)-(10^(LOG(B157*10^12)-INT(LOG(B157*10^12)))),VLOOKUP((10^(LOG(B157*10^12)-INT(LOG(B157*10^12)))),c_s1:C_f1,1),VLOOKUP((10^(LOG(B157*10^12)-INT(LOG(B157*10^12)))),c_s1:C_f1,2))*10^INT(LOG(B157*10^12)),IF((10^(LOG(B157*10^12)-INT(LOG(B157*10^12))))-VLOOKUP((10^(LOG(B157*10^12)-INT(LOG(B157*10^12)))),C_s2:C_f2,1)&lt;VLOOKUP((10^(LOG(B157*10^12)-INT(LOG(B157*10^12)))),C_s2:C_f2,2)-(10^(LOG(B157*10^12)-INT(LOG(B157*10^12)))),VLOOKUP((10^(LOG(B157*10^12)-INT(LOG(B157*10^12)))),C_s2:C_f2,1),VLOOKUP((10^(LOG(B157*10^12)-INT(LOG(B157*10^12)))),C_s2:C_f2,2))*10^INT(LOG(B157*10^12)))*10^-12</f>
        <v>47</v>
      </c>
      <c r="E157" s="69" t="s">
        <v>238</v>
      </c>
      <c r="F157" s="8" t="s">
        <v>198</v>
      </c>
      <c r="G157" s="3"/>
      <c r="I157" s="83"/>
      <c r="J157" s="3"/>
      <c r="K157" s="10"/>
      <c r="L157" s="3"/>
      <c r="M157" s="3"/>
      <c r="N157" s="3"/>
    </row>
    <row r="158" spans="1:8" ht="12.75">
      <c r="A158" s="161" t="s">
        <v>39</v>
      </c>
      <c r="B158" s="179">
        <f>MAX(C156:C157)</f>
        <v>47</v>
      </c>
      <c r="E158" s="69" t="s">
        <v>238</v>
      </c>
      <c r="G158" s="3"/>
      <c r="H158" s="5"/>
    </row>
    <row r="159" spans="1:8" ht="12.75">
      <c r="A159" s="167" t="s">
        <v>119</v>
      </c>
      <c r="B159" s="93"/>
      <c r="E159" s="66"/>
      <c r="G159" s="3"/>
      <c r="H159" s="5"/>
    </row>
    <row r="160" spans="2:7" ht="12.75">
      <c r="B160" s="4"/>
      <c r="E160" s="66"/>
      <c r="G160" s="5"/>
    </row>
    <row r="161" spans="1:13" ht="30">
      <c r="A161" s="160" t="s">
        <v>293</v>
      </c>
      <c r="B161" s="6" t="s">
        <v>12</v>
      </c>
      <c r="E161" s="67" t="s">
        <v>11</v>
      </c>
      <c r="F161" s="2" t="s">
        <v>292</v>
      </c>
      <c r="G161" s="3"/>
      <c r="H161" s="10"/>
      <c r="I161" s="3"/>
      <c r="J161" s="3"/>
      <c r="K161" s="3"/>
      <c r="L161" s="3"/>
      <c r="M161" s="3"/>
    </row>
    <row r="162" spans="1:13" ht="12.75">
      <c r="A162" s="155" t="s">
        <v>232</v>
      </c>
      <c r="B162" s="181">
        <f>Rdson</f>
        <v>0.092</v>
      </c>
      <c r="C162" s="3"/>
      <c r="D162" s="3"/>
      <c r="E162" s="69" t="s">
        <v>156</v>
      </c>
      <c r="F162" s="154" t="s">
        <v>285</v>
      </c>
      <c r="G162" s="188"/>
      <c r="H162" s="10"/>
      <c r="I162" s="3"/>
      <c r="J162" s="3"/>
      <c r="K162" s="3"/>
      <c r="L162" s="3"/>
      <c r="M162" s="3"/>
    </row>
    <row r="163" spans="1:13" ht="12.75">
      <c r="A163" s="155" t="s">
        <v>301</v>
      </c>
      <c r="B163" s="92">
        <f>Iout^2*Vout/Vin_nom*B162</f>
        <v>0.46958333333333335</v>
      </c>
      <c r="C163" s="92">
        <f>Iout^2*Vout/Vin_max*B162</f>
        <v>0.09391666666666666</v>
      </c>
      <c r="D163" s="92">
        <f>Iout^2*Vout/Vin_min*B162</f>
        <v>0.6629411764705883</v>
      </c>
      <c r="E163" s="69" t="s">
        <v>113</v>
      </c>
      <c r="F163" s="154" t="s">
        <v>285</v>
      </c>
      <c r="G163" s="188"/>
      <c r="H163" s="10"/>
      <c r="I163" s="3"/>
      <c r="J163" s="3"/>
      <c r="K163" s="3"/>
      <c r="L163" s="3"/>
      <c r="M163" s="3"/>
    </row>
    <row r="164" spans="1:13" ht="12.75">
      <c r="A164" s="155" t="s">
        <v>302</v>
      </c>
      <c r="B164" s="92">
        <f>Vin_nom*fsw*Iout*(Vin_nom*0.16*10^-9+0.000000003)</f>
        <v>0.12398400000000001</v>
      </c>
      <c r="C164" s="92">
        <f>Vin_max*fsw*Iout*(Vin_max*0.16*10^-9+0.000000003)</f>
        <v>1.5876000000000001</v>
      </c>
      <c r="D164" s="92">
        <f>Vin_min*fsw*Iout*(Vin_min*0.16*10^-9+0.000000003)</f>
        <v>0.077826</v>
      </c>
      <c r="E164" s="69" t="s">
        <v>113</v>
      </c>
      <c r="F164" s="154" t="s">
        <v>286</v>
      </c>
      <c r="G164" s="189"/>
      <c r="H164" s="10"/>
      <c r="I164" s="3"/>
      <c r="J164" s="3"/>
      <c r="K164" s="3"/>
      <c r="L164" s="3"/>
      <c r="M164" s="3"/>
    </row>
    <row r="165" spans="1:14" ht="12.75">
      <c r="A165" s="155" t="s">
        <v>303</v>
      </c>
      <c r="B165" s="92">
        <f>Vin_nom*0.000000003*fsw</f>
        <v>0.021599999999999998</v>
      </c>
      <c r="C165" s="92">
        <f>Vin_max*0.000000003*fsw</f>
        <v>0.108</v>
      </c>
      <c r="D165" s="92">
        <f>Vin_min*0.000000003*fsw</f>
        <v>0.0153</v>
      </c>
      <c r="E165" s="69" t="s">
        <v>113</v>
      </c>
      <c r="F165" s="224" t="s">
        <v>287</v>
      </c>
      <c r="G165" s="188"/>
      <c r="H165" s="21"/>
      <c r="I165" s="86"/>
      <c r="J165" s="86"/>
      <c r="K165" s="86"/>
      <c r="L165" s="21"/>
      <c r="M165" s="21"/>
      <c r="N165" s="3"/>
    </row>
    <row r="166" spans="1:14" ht="12.75">
      <c r="A166" s="155" t="s">
        <v>304</v>
      </c>
      <c r="B166" s="92">
        <f>Iq*Vin_nom</f>
        <v>0.001752</v>
      </c>
      <c r="C166" s="92">
        <f>Iq*Vin_max</f>
        <v>0.00876</v>
      </c>
      <c r="D166" s="92">
        <f>Iq*Vin_min</f>
        <v>0.001241</v>
      </c>
      <c r="E166" s="69" t="s">
        <v>113</v>
      </c>
      <c r="F166" s="21" t="s">
        <v>288</v>
      </c>
      <c r="H166" s="21"/>
      <c r="I166" s="86"/>
      <c r="J166" s="86"/>
      <c r="K166" s="86"/>
      <c r="L166" s="21"/>
      <c r="M166" s="9"/>
      <c r="N166" s="3"/>
    </row>
    <row r="167" spans="1:14" ht="12.75">
      <c r="A167" s="155" t="s">
        <v>305</v>
      </c>
      <c r="B167" s="88">
        <f>B163+B164+B165+B166</f>
        <v>0.6169193333333333</v>
      </c>
      <c r="C167" s="88">
        <f>C163+C164+C165+C166</f>
        <v>1.798276666666667</v>
      </c>
      <c r="D167" s="88">
        <f>D163+D164+D165+D166</f>
        <v>0.7573081764705883</v>
      </c>
      <c r="E167" s="69" t="s">
        <v>113</v>
      </c>
      <c r="F167" s="21" t="s">
        <v>289</v>
      </c>
      <c r="H167" s="21"/>
      <c r="I167" s="26"/>
      <c r="J167" s="26"/>
      <c r="K167" s="26"/>
      <c r="L167" s="21"/>
      <c r="M167" s="9"/>
      <c r="N167" s="3"/>
    </row>
    <row r="168" spans="1:14" ht="12.75">
      <c r="A168" s="155" t="s">
        <v>257</v>
      </c>
      <c r="B168" s="179">
        <v>30</v>
      </c>
      <c r="C168" s="3"/>
      <c r="D168" s="3"/>
      <c r="E168" s="69" t="s">
        <v>218</v>
      </c>
      <c r="F168" s="6"/>
      <c r="H168" s="21"/>
      <c r="I168" s="26"/>
      <c r="J168" s="26"/>
      <c r="K168" s="26"/>
      <c r="L168" s="21"/>
      <c r="M168" s="9"/>
      <c r="N168" s="3"/>
    </row>
    <row r="169" spans="1:14" ht="12.75">
      <c r="A169" s="155" t="s">
        <v>258</v>
      </c>
      <c r="B169" s="179">
        <v>85</v>
      </c>
      <c r="C169" s="1"/>
      <c r="E169" s="70" t="s">
        <v>259</v>
      </c>
      <c r="F169" s="3"/>
      <c r="H169" s="3"/>
      <c r="I169" s="5"/>
      <c r="J169" s="3"/>
      <c r="K169" s="3"/>
      <c r="L169" s="21"/>
      <c r="M169" s="9"/>
      <c r="N169" s="3"/>
    </row>
    <row r="170" spans="1:14" ht="12.75">
      <c r="A170" s="155" t="s">
        <v>260</v>
      </c>
      <c r="B170" s="88">
        <f>(150-B169)/B168</f>
        <v>2.1666666666666665</v>
      </c>
      <c r="C170" s="1"/>
      <c r="E170" s="70" t="s">
        <v>113</v>
      </c>
      <c r="F170" s="3"/>
      <c r="H170" s="3"/>
      <c r="I170" s="5"/>
      <c r="J170" s="3"/>
      <c r="K170" s="3"/>
      <c r="L170" s="21"/>
      <c r="M170" s="9"/>
      <c r="N170" s="3"/>
    </row>
    <row r="172" spans="1:14" ht="15">
      <c r="A172" s="160" t="s">
        <v>261</v>
      </c>
      <c r="B172" s="2" t="s">
        <v>12</v>
      </c>
      <c r="D172" s="2"/>
      <c r="E172" s="65" t="s">
        <v>11</v>
      </c>
      <c r="G172" s="3"/>
      <c r="H172" s="3"/>
      <c r="I172" s="83"/>
      <c r="J172" s="3"/>
      <c r="K172" s="3"/>
      <c r="L172" s="21"/>
      <c r="M172" s="9"/>
      <c r="N172" s="3"/>
    </row>
    <row r="173" spans="1:14" ht="12.75">
      <c r="A173" s="155" t="s">
        <v>189</v>
      </c>
      <c r="B173" s="207">
        <f>LOOKUP(B$3,partdata!A3:A10,partdata!E3:E10)</f>
        <v>4.5</v>
      </c>
      <c r="C173" s="8"/>
      <c r="D173" s="8"/>
      <c r="E173" s="64" t="s">
        <v>5</v>
      </c>
      <c r="G173" s="3"/>
      <c r="H173" s="3"/>
      <c r="I173" s="3"/>
      <c r="J173" s="3"/>
      <c r="K173" s="3"/>
      <c r="L173" s="9"/>
      <c r="M173" s="3"/>
      <c r="N173" s="3"/>
    </row>
    <row r="174" spans="1:14" ht="12.75">
      <c r="A174" s="155" t="s">
        <v>190</v>
      </c>
      <c r="B174" s="208">
        <f>LOOKUP(B$3,partdata!A3:A10,partdata!F3:F10)</f>
        <v>60</v>
      </c>
      <c r="C174" s="8"/>
      <c r="D174" s="8"/>
      <c r="E174" s="64" t="s">
        <v>5</v>
      </c>
      <c r="G174" s="3"/>
      <c r="H174" s="3"/>
      <c r="I174" s="4"/>
      <c r="J174" s="4"/>
      <c r="K174" s="3"/>
      <c r="L174" s="3"/>
      <c r="M174" s="3"/>
      <c r="N174" s="3"/>
    </row>
    <row r="175" spans="1:14" ht="12.75">
      <c r="A175" s="161" t="s">
        <v>0</v>
      </c>
      <c r="B175" s="205">
        <f>LOOKUP(B$3,partdata!A3:A10,partdata!G3:G10)</f>
        <v>350</v>
      </c>
      <c r="D175" s="3"/>
      <c r="E175" s="69" t="s">
        <v>105</v>
      </c>
      <c r="G175" s="3"/>
      <c r="H175" s="21"/>
      <c r="I175" s="4"/>
      <c r="J175" s="4"/>
      <c r="K175" s="4"/>
      <c r="L175" s="3"/>
      <c r="M175" s="3"/>
      <c r="N175" s="3"/>
    </row>
    <row r="176" spans="1:14" ht="12.75">
      <c r="A176" s="161" t="s">
        <v>1</v>
      </c>
      <c r="B176" s="209">
        <f>LOOKUP(B$3,partdata!A3:A10,partdata!H3:H10)</f>
        <v>12</v>
      </c>
      <c r="E176" s="66" t="s">
        <v>2</v>
      </c>
      <c r="G176" s="3"/>
      <c r="H176" s="3"/>
      <c r="I176" s="4"/>
      <c r="J176" s="4"/>
      <c r="K176" s="3"/>
      <c r="L176" s="3"/>
      <c r="M176" s="3"/>
      <c r="N176" s="3"/>
    </row>
    <row r="177" spans="1:14" ht="12.75">
      <c r="A177" s="66" t="s">
        <v>59</v>
      </c>
      <c r="B177" s="202">
        <f>LOOKUP(B$3,partdata!A3:A10,partdata!I3:I10)</f>
        <v>1</v>
      </c>
      <c r="D177" s="3"/>
      <c r="E177" s="64" t="s">
        <v>2</v>
      </c>
      <c r="G177" s="3"/>
      <c r="H177" s="3"/>
      <c r="I177" s="4"/>
      <c r="J177" s="3"/>
      <c r="K177" s="3"/>
      <c r="L177" s="3"/>
      <c r="M177" s="3"/>
      <c r="N177" s="3"/>
    </row>
    <row r="178" spans="1:14" ht="12.75">
      <c r="A178" s="161" t="s">
        <v>3</v>
      </c>
      <c r="B178" s="156">
        <f>LOOKUP(B$3,partdata!A3:A10,partdata!J3:J10)</f>
        <v>0.8</v>
      </c>
      <c r="D178" s="3"/>
      <c r="E178" s="66" t="s">
        <v>5</v>
      </c>
      <c r="F178" s="61"/>
      <c r="G178" s="3"/>
      <c r="H178" s="3"/>
      <c r="I178" s="4"/>
      <c r="J178" s="3"/>
      <c r="K178" s="3"/>
      <c r="L178" s="3"/>
      <c r="M178" s="3"/>
      <c r="N178" s="3"/>
    </row>
    <row r="179" spans="1:14" ht="12.75">
      <c r="A179" s="161" t="s">
        <v>96</v>
      </c>
      <c r="B179" s="203">
        <f>LOOKUP(B$3,partdata!A3:A10,partdata!K3:K10)</f>
        <v>1.2</v>
      </c>
      <c r="D179" s="3"/>
      <c r="E179" s="66" t="s">
        <v>4</v>
      </c>
      <c r="F179" s="61"/>
      <c r="G179" s="3"/>
      <c r="H179" s="3"/>
      <c r="I179" s="4"/>
      <c r="J179" s="3"/>
      <c r="K179" s="3"/>
      <c r="L179" s="3"/>
      <c r="M179" s="3"/>
      <c r="N179" s="3"/>
    </row>
    <row r="180" spans="1:14" ht="12.75">
      <c r="A180" s="155" t="s">
        <v>181</v>
      </c>
      <c r="B180" s="203">
        <f>LOOKUP(B$3,partdata!A3:A10,partdata!L3:L10)</f>
        <v>3.4</v>
      </c>
      <c r="D180" s="3"/>
      <c r="E180" s="66" t="s">
        <v>4</v>
      </c>
      <c r="F180" s="74"/>
      <c r="G180" s="3"/>
      <c r="H180" s="3"/>
      <c r="I180" s="3"/>
      <c r="J180" s="3"/>
      <c r="K180" s="3"/>
      <c r="L180" s="3"/>
      <c r="M180" s="3"/>
      <c r="N180" s="3"/>
    </row>
    <row r="181" spans="1:14" ht="12.75">
      <c r="A181" s="161" t="s">
        <v>13</v>
      </c>
      <c r="B181" s="24">
        <f>LOOKUP(B$3,partdata!A3:A10,partdata!M3:M10)</f>
        <v>1.2</v>
      </c>
      <c r="D181" s="3"/>
      <c r="E181" s="66" t="s">
        <v>5</v>
      </c>
      <c r="F181" s="75"/>
      <c r="G181" s="3"/>
      <c r="H181" s="6"/>
      <c r="I181" s="6"/>
      <c r="J181" s="3"/>
      <c r="K181" s="3"/>
      <c r="L181" s="6"/>
      <c r="M181" s="3"/>
      <c r="N181" s="3"/>
    </row>
    <row r="182" spans="1:14" ht="12.75">
      <c r="A182" s="161" t="s">
        <v>16</v>
      </c>
      <c r="B182" s="24">
        <f>LOOKUP(B$3,partdata!A3:A10,partdata!N3:N10)</f>
        <v>20.631213753167923</v>
      </c>
      <c r="D182" s="3"/>
      <c r="E182" s="69" t="s">
        <v>230</v>
      </c>
      <c r="F182" s="3"/>
      <c r="H182" s="6"/>
      <c r="I182" s="6"/>
      <c r="J182" s="3"/>
      <c r="K182" s="3"/>
      <c r="L182" s="6"/>
      <c r="M182" s="3"/>
      <c r="N182" s="3"/>
    </row>
    <row r="183" spans="1:14" ht="12.75">
      <c r="A183" s="161" t="s">
        <v>41</v>
      </c>
      <c r="B183" s="205">
        <f>LOOKUP(B$3,partdata!A3:A10,partdata!O3:O10)</f>
        <v>2500</v>
      </c>
      <c r="D183" s="3"/>
      <c r="E183" s="66" t="s">
        <v>21</v>
      </c>
      <c r="F183" s="3"/>
      <c r="H183" s="3"/>
      <c r="I183" s="10"/>
      <c r="J183" s="3"/>
      <c r="K183" s="3"/>
      <c r="L183" s="3"/>
      <c r="M183" s="3"/>
      <c r="N183" s="3"/>
    </row>
    <row r="184" spans="1:9" ht="12.75">
      <c r="A184" s="161" t="s">
        <v>42</v>
      </c>
      <c r="B184" s="205">
        <f>LOOKUP(B$3,partdata!A3:A10,partdata!P3:P10)</f>
        <v>100</v>
      </c>
      <c r="D184" s="3"/>
      <c r="E184" s="66" t="s">
        <v>21</v>
      </c>
      <c r="F184" s="3"/>
      <c r="H184" s="5"/>
      <c r="I184" s="94"/>
    </row>
    <row r="185" spans="1:8" ht="12.75">
      <c r="A185" s="155" t="s">
        <v>106</v>
      </c>
      <c r="B185" s="203">
        <f>LOOKUP(B$3,partdata!A3:A10,partdata!Q3:Q10)</f>
        <v>4.7</v>
      </c>
      <c r="D185" s="3"/>
      <c r="E185" s="66" t="s">
        <v>4</v>
      </c>
      <c r="F185" s="3"/>
      <c r="H185" s="5"/>
    </row>
    <row r="186" spans="1:8" ht="12.75">
      <c r="A186" s="161" t="s">
        <v>22</v>
      </c>
      <c r="B186" s="205">
        <f>LOOKUP(B$3,partdata!A3:A10,partdata!R3:R10)</f>
        <v>146</v>
      </c>
      <c r="D186" s="3"/>
      <c r="E186" s="66" t="s">
        <v>4</v>
      </c>
      <c r="F186" s="3"/>
      <c r="H186" s="5"/>
    </row>
    <row r="187" spans="1:8" ht="12.75">
      <c r="A187" s="161" t="s">
        <v>23</v>
      </c>
      <c r="B187" s="205">
        <f>LOOKUP(B$3,partdata!A3:A10,partdata!S3:S10)</f>
        <v>135</v>
      </c>
      <c r="D187" s="3"/>
      <c r="E187" s="66" t="s">
        <v>226</v>
      </c>
      <c r="F187" s="3"/>
      <c r="H187" s="5"/>
    </row>
    <row r="188" spans="1:8" ht="12.75">
      <c r="A188" s="155" t="s">
        <v>232</v>
      </c>
      <c r="B188" s="205">
        <f>LOOKUP(B$3,partdata!A3:A11,partdata!T3:T11)</f>
        <v>92</v>
      </c>
      <c r="D188" s="3"/>
      <c r="E188" s="69" t="s">
        <v>231</v>
      </c>
      <c r="F188" s="3"/>
      <c r="H188" s="5"/>
    </row>
    <row r="189" spans="1:8" ht="12.75">
      <c r="A189" s="155" t="s">
        <v>229</v>
      </c>
      <c r="B189" s="209" t="str">
        <f>LOOKUP(B$3,partdata!A3:A10,partdata!V3:V10)</f>
        <v>internal ss</v>
      </c>
      <c r="D189" s="3"/>
      <c r="E189" s="69" t="s">
        <v>246</v>
      </c>
      <c r="F189" s="3"/>
      <c r="G189" s="3"/>
      <c r="H189" s="5"/>
    </row>
    <row r="190" spans="1:8" ht="12.75">
      <c r="A190" s="155" t="s">
        <v>247</v>
      </c>
      <c r="B190" s="203">
        <f>LOOKUP(B$3,partdata!A3:A11,partdata!W3:W11)</f>
        <v>8.4</v>
      </c>
      <c r="D190" s="3"/>
      <c r="E190" s="69" t="s">
        <v>5</v>
      </c>
      <c r="F190" s="3"/>
      <c r="G190" s="10"/>
      <c r="H190" s="5"/>
    </row>
    <row r="191" spans="1:14" ht="12.75">
      <c r="A191" s="190"/>
      <c r="B191" s="192"/>
      <c r="D191" s="3"/>
      <c r="E191" s="193"/>
      <c r="F191" s="6"/>
      <c r="G191" s="3"/>
      <c r="H191" s="3"/>
      <c r="I191" s="3"/>
      <c r="J191" s="3"/>
      <c r="K191" s="3"/>
      <c r="L191" s="3"/>
      <c r="M191" s="6"/>
      <c r="N191" s="3"/>
    </row>
  </sheetData>
  <sheetProtection sheet="1"/>
  <mergeCells count="2">
    <mergeCell ref="C22:F22"/>
    <mergeCell ref="A1:F1"/>
  </mergeCells>
  <conditionalFormatting sqref="B85">
    <cfRule type="cellIs" priority="13" dxfId="0" operator="lessThan" stopIfTrue="1">
      <formula>$B$9</formula>
    </cfRule>
  </conditionalFormatting>
  <conditionalFormatting sqref="A79:F85">
    <cfRule type="expression" priority="12" dxfId="9" stopIfTrue="1">
      <formula>OR($B$3="TPS5401",$B$3="TPS54040/A",$B$3="TPS54060/A",$B$3="TPS54140/A",$B$3="TPS54160/A",$B$3="TPS54240",$B$3="TPS54260")</formula>
    </cfRule>
  </conditionalFormatting>
  <conditionalFormatting sqref="B8">
    <cfRule type="cellIs" priority="18" dxfId="0" operator="lessThan" stopIfTrue="1">
      <formula>$B$173</formula>
    </cfRule>
  </conditionalFormatting>
  <conditionalFormatting sqref="B7">
    <cfRule type="cellIs" priority="19" dxfId="0" operator="greaterThan" stopIfTrue="1">
      <formula>$B$174</formula>
    </cfRule>
  </conditionalFormatting>
  <conditionalFormatting sqref="B94:D94">
    <cfRule type="cellIs" priority="20" dxfId="0" operator="greaterThan" stopIfTrue="1">
      <formula>$B$185</formula>
    </cfRule>
  </conditionalFormatting>
  <conditionalFormatting sqref="B130">
    <cfRule type="cellIs" priority="21" dxfId="0" operator="greaterThan" stopIfTrue="1">
      <formula>$B$190</formula>
    </cfRule>
  </conditionalFormatting>
  <conditionalFormatting sqref="B73">
    <cfRule type="cellIs" priority="7" dxfId="0" operator="greaterThan" stopIfTrue="1">
      <formula>MIN($B$71,$B$72)</formula>
    </cfRule>
  </conditionalFormatting>
  <conditionalFormatting sqref="B14">
    <cfRule type="expression" priority="4" dxfId="0" stopIfTrue="1">
      <formula>$B$94&gt;Ilim</formula>
    </cfRule>
  </conditionalFormatting>
  <conditionalFormatting sqref="B167:D167">
    <cfRule type="cellIs" priority="2" dxfId="0" operator="greaterThan" stopIfTrue="1">
      <formula>$B$170</formula>
    </cfRule>
  </conditionalFormatting>
  <conditionalFormatting sqref="B19">
    <cfRule type="cellIs" priority="1" dxfId="0" operator="greaterThan" stopIfTrue="1">
      <formula>MIN($B$71,$B$72)</formula>
    </cfRule>
  </conditionalFormatting>
  <conditionalFormatting sqref="B9">
    <cfRule type="expression" priority="27" dxfId="0" stopIfTrue="1">
      <formula>$B$9&gt;$B$85</formula>
    </cfRule>
  </conditionalFormatting>
  <dataValidations count="1">
    <dataValidation type="list" allowBlank="1" showInputMessage="1" showErrorMessage="1" promptTitle="Select Device" prompt="Please select a device." sqref="B3">
      <formula1>$E$8:$E$15</formula1>
    </dataValidation>
  </dataValidations>
  <printOptions/>
  <pageMargins left="0.75" right="0.75" top="1" bottom="1" header="0.5" footer="0.5"/>
  <pageSetup horizontalDpi="600" verticalDpi="600" orientation="portrait" r:id="rId4"/>
  <legacyDrawing r:id="rId3"/>
  <oleObjects>
    <oleObject progId="Visio.Drawing.11" shapeId="5301883" r:id="rId2"/>
  </oleObjects>
</worksheet>
</file>

<file path=xl/worksheets/sheet3.xml><?xml version="1.0" encoding="utf-8"?>
<worksheet xmlns="http://schemas.openxmlformats.org/spreadsheetml/2006/main" xmlns:r="http://schemas.openxmlformats.org/officeDocument/2006/relationships">
  <dimension ref="A1:AA212"/>
  <sheetViews>
    <sheetView zoomScale="85" zoomScaleNormal="85" zoomScalePageLayoutView="0" workbookViewId="0" topLeftCell="A1">
      <selection activeCell="B4" sqref="B4"/>
    </sheetView>
  </sheetViews>
  <sheetFormatPr defaultColWidth="9.140625" defaultRowHeight="12.75"/>
  <cols>
    <col min="1" max="1" width="12.28125" style="28" bestFit="1" customWidth="1"/>
    <col min="2" max="2" width="10.00390625" style="0" customWidth="1"/>
    <col min="3" max="3" width="13.421875" style="0" customWidth="1"/>
    <col min="4" max="4" width="14.00390625" style="0" customWidth="1"/>
    <col min="5" max="5" width="2.7109375" style="0" customWidth="1"/>
    <col min="6" max="6" width="4.7109375" style="0" customWidth="1"/>
    <col min="7" max="7" width="9.8515625" style="0" customWidth="1"/>
    <col min="8" max="12" width="16.7109375" style="0" customWidth="1"/>
    <col min="13" max="13" width="15.7109375" style="0" customWidth="1"/>
    <col min="16" max="16" width="18.28125" style="0" customWidth="1"/>
    <col min="19" max="19" width="13.57421875" style="0" customWidth="1"/>
  </cols>
  <sheetData>
    <row r="1" spans="2:27" s="29" customFormat="1" ht="25.5">
      <c r="B1" s="79" t="s">
        <v>309</v>
      </c>
      <c r="C1" s="79" t="s">
        <v>310</v>
      </c>
      <c r="D1" s="79"/>
      <c r="F1" s="77"/>
      <c r="G1" s="226" t="s">
        <v>47</v>
      </c>
      <c r="H1" s="227" t="s">
        <v>48</v>
      </c>
      <c r="I1" s="226" t="s">
        <v>84</v>
      </c>
      <c r="J1" s="226" t="s">
        <v>85</v>
      </c>
      <c r="K1" s="226" t="s">
        <v>86</v>
      </c>
      <c r="L1" s="226" t="s">
        <v>87</v>
      </c>
      <c r="M1" s="228" t="s">
        <v>65</v>
      </c>
      <c r="N1" s="226" t="s">
        <v>63</v>
      </c>
      <c r="O1" s="228" t="s">
        <v>64</v>
      </c>
      <c r="P1" s="228" t="s">
        <v>82</v>
      </c>
      <c r="Q1" s="226" t="s">
        <v>63</v>
      </c>
      <c r="R1" s="228" t="s">
        <v>64</v>
      </c>
      <c r="S1" s="228" t="s">
        <v>66</v>
      </c>
      <c r="T1" s="228" t="s">
        <v>67</v>
      </c>
      <c r="U1" s="228" t="s">
        <v>68</v>
      </c>
      <c r="V1" s="228" t="s">
        <v>83</v>
      </c>
      <c r="W1" s="226" t="s">
        <v>63</v>
      </c>
      <c r="X1" s="228" t="s">
        <v>69</v>
      </c>
      <c r="Y1" s="228" t="s">
        <v>88</v>
      </c>
      <c r="Z1" s="226" t="s">
        <v>63</v>
      </c>
      <c r="AA1" s="228" t="s">
        <v>69</v>
      </c>
    </row>
    <row r="2" spans="1:27" ht="12.75">
      <c r="A2" s="30" t="s">
        <v>52</v>
      </c>
      <c r="B2" s="173">
        <f aca="true" t="shared" si="0" ref="B2:B14">C2</f>
        <v>12</v>
      </c>
      <c r="C2" s="89">
        <f>'Design Equations CCM'!B6</f>
        <v>12</v>
      </c>
      <c r="F2" s="78">
        <v>0</v>
      </c>
      <c r="G2" s="229">
        <f>10^('Small Signal'!F2/30)</f>
        <v>1</v>
      </c>
      <c r="H2" s="229" t="str">
        <f aca="true" t="shared" si="1" ref="H2:H65">COMPLEX(0,G2*2*PI())</f>
        <v>6.28318530717959i</v>
      </c>
      <c r="I2" s="229">
        <f>IF('Small Signal'!$B$37&gt;=1,Q2+0,N2+0)</f>
        <v>23.137905557116266</v>
      </c>
      <c r="J2" s="229">
        <f>IF('Small Signal'!$B$37&gt;=1,R2,O2)</f>
        <v>-0.012894354246436814</v>
      </c>
      <c r="K2" s="229">
        <f>IF('Small Signal'!$B$37&gt;=1,Z2+0,W2+0)</f>
        <v>67.1816864935637</v>
      </c>
      <c r="L2" s="229">
        <f>IF('Small Signal'!$B$37&gt;=1,AA2,X2)</f>
        <v>175.10213796424208</v>
      </c>
      <c r="M2" s="229" t="str">
        <f>IMDIV(IMSUM('Small Signal'!$B$2*'Small Signal'!$B$16*'Small Signal'!$B$38,IMPRODUCT(H2,'Small Signal'!$B$2*'Small Signal'!$B$16*'Small Signal'!$B$38*'Small Signal'!$B$13*'Small Signal'!$B$14)),IMSUM(IMPRODUCT('Small Signal'!$B$11*'Small Signal'!$B$13*('Small Signal'!$B$14+'Small Signal'!$B$16),IMPOWER(H2,2)),IMSUM(IMPRODUCT(H2,('Small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14.3514329680741-0.00322977478151258i</v>
      </c>
      <c r="N2" s="229">
        <f aca="true" t="shared" si="2" ref="N2:N65">20*LOG(IMABS(M2))</f>
        <v>23.137905557116266</v>
      </c>
      <c r="O2" s="229">
        <f aca="true" t="shared" si="3" ref="O2:O65">(180/PI())*IMARGUMENT(M2)</f>
        <v>-0.012894354246436814</v>
      </c>
      <c r="P2" s="229" t="str">
        <f>IMDIV(IMSUM('Small Signal'!$B$48,IMPRODUCT(H2,'Small Signal'!$B$49)),IMSUM(IMPRODUCT('Small Signal'!$B$52,IMPOWER(H2,2)),IMSUM(IMPRODUCT(H2,'Small Signal'!$B$51),'Small Signal'!$B$50)))</f>
        <v>42.0787796559454-0.0103718416322954i</v>
      </c>
      <c r="Q2" s="229">
        <f aca="true" t="shared" si="4" ref="Q2:Q65">20*LOG(IMABS(P2))</f>
        <v>32.48126298735402</v>
      </c>
      <c r="R2" s="229">
        <f aca="true" t="shared" si="5" ref="R2:R65">(180/PI())*IMARGUMENT(P2)</f>
        <v>-0.014122622949920413</v>
      </c>
      <c r="S2" s="229" t="str">
        <f>IMPRODUCT(IMDIV(IMSUM(IMPRODUCT(H2,'Small Signal'!$B$33*'Small Signal'!$B$6*'Small Signal'!$B$27*'Small Signal'!$B$7*'Small Signal'!$B$8),'Small Signal'!$B$33*'Small Signal'!$B$6*'Small Signal'!$B$27),IMSUM(IMSUM(IMPRODUCT(H2,('Small Signal'!$B$5+'Small Signal'!$B$6)*('Small Signal'!$B$32*'Small Signal'!$B$33)+'Small Signal'!$B$5*'Small Signal'!$B$33*('Small Signal'!$B$8+'Small Signal'!$B$9)+'Small Signal'!$B$6*'Small Signal'!$B$33*('Small Signal'!$B$8+'Small Signal'!$B$9)+'Small Signal'!$B$7*'Small Signal'!$B$8*('Small Signal'!$B$5+'Small Signal'!$B$6)),'Small Signal'!$B$6+'Small Signal'!$B$5),IMPRODUCT(IMPOWER(H2,2),'Small Signal'!$B$32*'Small Signal'!$B$33*'Small Signal'!$B$8*'Small Signal'!$B$7*('Small Signal'!$B$5+'Small Signal'!$B$6)+('Small Signal'!$B$5+'Small Signal'!$B$6)*('Small Signal'!$B$9*'Small Signal'!$B$8*'Small Signal'!$B$33*'Small Signal'!$B$7)))),-1)</f>
        <v>-158.711601853091+13.5644387773587i</v>
      </c>
      <c r="T2" s="229">
        <f aca="true" t="shared" si="6" ref="T2:T65">20*LOG(IMABS(S2))</f>
        <v>44.04378093644745</v>
      </c>
      <c r="U2" s="229">
        <f aca="true" t="shared" si="7" ref="U2:U65">(180/PI())*IMARGUMENT(S2)</f>
        <v>175.11503231848852</v>
      </c>
      <c r="V2" s="229" t="str">
        <f aca="true" t="shared" si="8" ref="V2:V65">IMPRODUCT(M2,S2)</f>
        <v>-2277.69510516801+195.181736592007i</v>
      </c>
      <c r="W2" s="226">
        <f aca="true" t="shared" si="9" ref="W2:W65">20*LOG(IMABS(V2))</f>
        <v>67.1816864935637</v>
      </c>
      <c r="X2" s="229">
        <f aca="true" t="shared" si="10" ref="X2:X65">(180/PI())*IMARGUMENT(V2)</f>
        <v>175.10213796424208</v>
      </c>
      <c r="Y2" s="229" t="str">
        <f aca="true" t="shared" si="11" ref="Y2:Y65">IMPRODUCT(P2,S2)</f>
        <v>-6678.24983500752+572.421162068666i</v>
      </c>
      <c r="Z2" s="226">
        <f aca="true" t="shared" si="12" ref="Z2:Z65">20*LOG(IMABS(Y2))</f>
        <v>76.52504392380146</v>
      </c>
      <c r="AA2" s="229">
        <f aca="true" t="shared" si="13" ref="AA2:AA65">(180/PI())*IMARGUMENT(Y2)</f>
        <v>175.10090969553858</v>
      </c>
    </row>
    <row r="3" spans="1:27" ht="12.75">
      <c r="A3" s="30" t="s">
        <v>53</v>
      </c>
      <c r="B3" s="173">
        <f t="shared" si="0"/>
        <v>5</v>
      </c>
      <c r="C3" s="89">
        <f>'Design Equations CCM'!B9</f>
        <v>5</v>
      </c>
      <c r="D3" s="56"/>
      <c r="F3" s="78">
        <v>1</v>
      </c>
      <c r="G3" s="229">
        <f>10^('Small Signal'!F3/30)</f>
        <v>1.0797751623277096</v>
      </c>
      <c r="H3" s="229" t="str">
        <f t="shared" si="1"/>
        <v>6.78442743499492i</v>
      </c>
      <c r="I3" s="229">
        <f>IF('Small Signal'!$B$37&gt;=1,Q3+0,N3+0)</f>
        <v>23.137905522262365</v>
      </c>
      <c r="J3" s="229">
        <f>IF('Small Signal'!$B$37&gt;=1,R3,O3)</f>
        <v>-0.013923003413198532</v>
      </c>
      <c r="K3" s="229">
        <f>IF('Small Signal'!$B$37&gt;=1,Z3+0,W3+0)</f>
        <v>67.17643136127967</v>
      </c>
      <c r="L3" s="229">
        <f>IF('Small Signal'!$B$37&gt;=1,AA3,X3)</f>
        <v>174.7135463484232</v>
      </c>
      <c r="M3" s="229" t="str">
        <f>IMDIV(IMSUM('Small Signal'!$B$2*'Small Signal'!$B$16*'Small Signal'!$B$38,IMPRODUCT(H3,'Small Signal'!$B$2*'Small Signal'!$B$16*'Small Signal'!$B$38*'Small Signal'!$B$13*'Small Signal'!$B$14)),IMSUM(IMPRODUCT('Small Signal'!$B$11*'Small Signal'!$B$13*('Small Signal'!$B$14+'Small Signal'!$B$16),IMPOWER(H3,2)),IMSUM(IMPRODUCT(H3,('Small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14.351432850188-0.00348743056100434i</v>
      </c>
      <c r="N3" s="229">
        <f t="shared" si="2"/>
        <v>23.137905522262365</v>
      </c>
      <c r="O3" s="229">
        <f t="shared" si="3"/>
        <v>-0.013923003413198532</v>
      </c>
      <c r="P3" s="229" t="str">
        <f>IMDIV(IMSUM('Small Signal'!$B$48,IMPRODUCT(H3,'Small Signal'!$B$49)),IMSUM(IMPRODUCT('Small Signal'!$B$52,IMPOWER(H3,2)),IMSUM(IMPRODUCT(H3,'Small Signal'!$B$51),'Small Signal'!$B$50)))</f>
        <v>42.0787793065515-0.0111992569091317i</v>
      </c>
      <c r="Q3" s="229">
        <f t="shared" si="4"/>
        <v>32.48126295901003</v>
      </c>
      <c r="R3" s="229">
        <f t="shared" si="5"/>
        <v>-0.015249257464201646</v>
      </c>
      <c r="S3" s="229" t="str">
        <f>IMPRODUCT(IMDIV(IMSUM(IMPRODUCT(H3,'Small Signal'!$B$33*'Small Signal'!$B$6*'Small Signal'!$B$27*'Small Signal'!$B$7*'Small Signal'!$B$8),'Small Signal'!$B$33*'Small Signal'!$B$6*'Small Signal'!$B$27),IMSUM(IMSUM(IMPRODUCT(H3,('Small Signal'!$B$5+'Small Signal'!$B$6)*('Small Signal'!$B$32*'Small Signal'!$B$33)+'Small Signal'!$B$5*'Small Signal'!$B$33*('Small Signal'!$B$8+'Small Signal'!$B$9)+'Small Signal'!$B$6*'Small Signal'!$B$33*('Small Signal'!$B$8+'Small Signal'!$B$9)+'Small Signal'!$B$7*'Small Signal'!$B$8*('Small Signal'!$B$5+'Small Signal'!$B$6)),'Small Signal'!$B$6+'Small Signal'!$B$5),IMPRODUCT(IMPOWER(H3,2),'Small Signal'!$B$32*'Small Signal'!$B$33*'Small Signal'!$B$8*'Small Signal'!$B$7*('Small Signal'!$B$5+'Small Signal'!$B$6)+('Small Signal'!$B$5+'Small Signal'!$B$6)*('Small Signal'!$B$9*'Small Signal'!$B$8*'Small Signal'!$B$33*'Small Signal'!$B$7)))),-1)</f>
        <v>-158.520282144897+14.6288318488928i</v>
      </c>
      <c r="T3" s="229">
        <f t="shared" si="6"/>
        <v>44.03852583901731</v>
      </c>
      <c r="U3" s="229">
        <f t="shared" si="7"/>
        <v>174.72746935183642</v>
      </c>
      <c r="V3" s="229" t="str">
        <f t="shared" si="8"/>
        <v>-2274.94216756008+210.497526432568i</v>
      </c>
      <c r="W3" s="226">
        <f t="shared" si="9"/>
        <v>67.17643136127967</v>
      </c>
      <c r="X3" s="229">
        <f t="shared" si="10"/>
        <v>174.7135463484232</v>
      </c>
      <c r="Y3" s="229" t="str">
        <f t="shared" si="11"/>
        <v>-6670.17613594124+617.338696247261i</v>
      </c>
      <c r="Z3" s="226">
        <f t="shared" si="12"/>
        <v>76.51978879802734</v>
      </c>
      <c r="AA3" s="229">
        <f t="shared" si="13"/>
        <v>174.71222009437219</v>
      </c>
    </row>
    <row r="4" spans="1:27" ht="12.75">
      <c r="A4" s="30" t="s">
        <v>95</v>
      </c>
      <c r="B4" s="173">
        <f t="shared" si="0"/>
        <v>3.5</v>
      </c>
      <c r="C4" s="221">
        <f>Iout</f>
        <v>3.5</v>
      </c>
      <c r="D4" s="3"/>
      <c r="F4" s="78">
        <v>2</v>
      </c>
      <c r="G4" s="229">
        <f>10^('Small Signal'!F4/30)</f>
        <v>1.1659144011798317</v>
      </c>
      <c r="H4" s="229" t="str">
        <f t="shared" si="1"/>
        <v>7.3256562349222i</v>
      </c>
      <c r="I4" s="229">
        <f>IF('Small Signal'!$B$37&gt;=1,Q4+0,N4+0)</f>
        <v>23.137905481625758</v>
      </c>
      <c r="J4" s="229">
        <f>IF('Small Signal'!$B$37&gt;=1,R4,O4)</f>
        <v>-0.015033713224802658</v>
      </c>
      <c r="K4" s="229">
        <f>IF('Small Signal'!$B$37&gt;=1,Z4+0,W4+0)</f>
        <v>67.17031234514592</v>
      </c>
      <c r="L4" s="229">
        <f>IF('Small Signal'!$B$37&gt;=1,AA4,X4)</f>
        <v>174.29450364527918</v>
      </c>
      <c r="M4" s="229" t="str">
        <f>IMDIV(IMSUM('Small Signal'!$B$2*'Small Signal'!$B$16*'Small Signal'!$B$38,IMPRODUCT(H4,'Small Signal'!$B$2*'Small Signal'!$B$16*'Small Signal'!$B$38*'Small Signal'!$B$13*'Small Signal'!$B$14)),IMSUM(IMPRODUCT('Small Signal'!$B$11*'Small Signal'!$B$13*('Small Signal'!$B$14+'Small Signal'!$B$16),IMPOWER(H4,2)),IMSUM(IMPRODUCT(H4,('Small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14.351432712743-0.00376564086488362i</v>
      </c>
      <c r="N4" s="229">
        <f t="shared" si="2"/>
        <v>23.137905481625758</v>
      </c>
      <c r="O4" s="229">
        <f t="shared" si="3"/>
        <v>-0.015033713224802658</v>
      </c>
      <c r="P4" s="229" t="str">
        <f>IMDIV(IMSUM('Small Signal'!$B$48,IMPRODUCT(H4,'Small Signal'!$B$49)),IMSUM(IMPRODUCT('Small Signal'!$B$52,IMPOWER(H4,2)),IMSUM(IMPRODUCT(H4,'Small Signal'!$B$51),'Small Signal'!$B$50)))</f>
        <v>42.0787788991877-0.0120926793550837i</v>
      </c>
      <c r="Q4" s="229">
        <f t="shared" si="4"/>
        <v>32.481262925963264</v>
      </c>
      <c r="R4" s="229">
        <f t="shared" si="5"/>
        <v>-0.01646576942351843</v>
      </c>
      <c r="S4" s="229" t="str">
        <f>IMPRODUCT(IMDIV(IMSUM(IMPRODUCT(H4,'Small Signal'!$B$33*'Small Signal'!$B$6*'Small Signal'!$B$27*'Small Signal'!$B$7*'Small Signal'!$B$8),'Small Signal'!$B$33*'Small Signal'!$B$6*'Small Signal'!$B$27),IMSUM(IMSUM(IMPRODUCT(H4,('Small Signal'!$B$5+'Small Signal'!$B$6)*('Small Signal'!$B$32*'Small Signal'!$B$33)+'Small Signal'!$B$5*'Small Signal'!$B$33*('Small Signal'!$B$8+'Small Signal'!$B$9)+'Small Signal'!$B$6*'Small Signal'!$B$33*('Small Signal'!$B$8+'Small Signal'!$B$9)+'Small Signal'!$B$7*'Small Signal'!$B$8*('Small Signal'!$B$5+'Small Signal'!$B$6)),'Small Signal'!$B$6+'Small Signal'!$B$5),IMPRODUCT(IMPOWER(H4,2),'Small Signal'!$B$32*'Small Signal'!$B$33*'Small Signal'!$B$8*'Small Signal'!$B$7*('Small Signal'!$B$5+'Small Signal'!$B$6)+('Small Signal'!$B$5+'Small Signal'!$B$6)*('Small Signal'!$B$9*'Small Signal'!$B$8*'Small Signal'!$B$33*'Small Signal'!$B$7)))),-1)</f>
        <v>-158.297803178917+15.7736092262022i</v>
      </c>
      <c r="T4" s="229">
        <f t="shared" si="6"/>
        <v>44.03240686352018</v>
      </c>
      <c r="U4" s="229">
        <f t="shared" si="7"/>
        <v>174.30953735850397</v>
      </c>
      <c r="V4" s="229" t="str">
        <f t="shared" si="8"/>
        <v>-2271.74087314977+226.969984123415i</v>
      </c>
      <c r="W4" s="226">
        <f t="shared" si="9"/>
        <v>67.17031234514592</v>
      </c>
      <c r="X4" s="229">
        <f t="shared" si="10"/>
        <v>174.29450364527918</v>
      </c>
      <c r="Y4" s="229" t="str">
        <f t="shared" si="11"/>
        <v>-6660.78751499414+665.648459648006i</v>
      </c>
      <c r="Z4" s="226">
        <f t="shared" si="12"/>
        <v>76.51366978948344</v>
      </c>
      <c r="AA4" s="229">
        <f t="shared" si="13"/>
        <v>174.29307158908045</v>
      </c>
    </row>
    <row r="5" spans="1:27" ht="12.75">
      <c r="A5" s="30" t="s">
        <v>97</v>
      </c>
      <c r="B5" s="173">
        <f t="shared" si="0"/>
        <v>53600</v>
      </c>
      <c r="C5" s="221">
        <f>Rhs</f>
        <v>53600</v>
      </c>
      <c r="D5" s="3"/>
      <c r="F5" s="78">
        <v>3</v>
      </c>
      <c r="G5" s="229">
        <f>10^('Small Signal'!F5/30)</f>
        <v>1.2589254117941673</v>
      </c>
      <c r="H5" s="229" t="str">
        <f t="shared" si="1"/>
        <v>7.91006165022012i</v>
      </c>
      <c r="I5" s="229">
        <f>IF('Small Signal'!$B$37&gt;=1,Q5+0,N5+0)</f>
        <v>23.137905434246893</v>
      </c>
      <c r="J5" s="229">
        <f>IF('Small Signal'!$B$37&gt;=1,R5,O5)</f>
        <v>-0.01623303008007478</v>
      </c>
      <c r="K5" s="229">
        <f>IF('Small Signal'!$B$37&gt;=1,Z5+0,W5+0)</f>
        <v>67.16318896490276</v>
      </c>
      <c r="L5" s="229">
        <f>IF('Small Signal'!$B$37&gt;=1,AA5,X5)</f>
        <v>173.8427207738103</v>
      </c>
      <c r="M5" s="229" t="str">
        <f>IMDIV(IMSUM('Small Signal'!$B$2*'Small Signal'!$B$16*'Small Signal'!$B$38,IMPRODUCT(H5,'Small Signal'!$B$2*'Small Signal'!$B$16*'Small Signal'!$B$38*'Small Signal'!$B$13*'Small Signal'!$B$14)),IMSUM(IMPRODUCT('Small Signal'!$B$11*'Small Signal'!$B$13*('Small Signal'!$B$14+'Small Signal'!$B$16),IMPOWER(H5,2)),IMSUM(IMPRODUCT(H5,('Small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14.3514325524938-0.00406604543179379i</v>
      </c>
      <c r="N5" s="229">
        <f t="shared" si="2"/>
        <v>23.137905434246893</v>
      </c>
      <c r="O5" s="229">
        <f t="shared" si="3"/>
        <v>-0.01623303008007478</v>
      </c>
      <c r="P5" s="229" t="str">
        <f>IMDIV(IMSUM('Small Signal'!$B$48,IMPRODUCT(H5,'Small Signal'!$B$49)),IMSUM(IMPRODUCT('Small Signal'!$B$52,IMPOWER(H5,2)),IMSUM(IMPRODUCT(H5,'Small Signal'!$B$51),'Small Signal'!$B$50)))</f>
        <v>42.0787784242369-0.0130573746978878i</v>
      </c>
      <c r="Q5" s="229">
        <f t="shared" si="4"/>
        <v>32.48126288743367</v>
      </c>
      <c r="R5" s="229">
        <f t="shared" si="5"/>
        <v>-0.017779328814026805</v>
      </c>
      <c r="S5" s="229" t="str">
        <f>IMPRODUCT(IMDIV(IMSUM(IMPRODUCT(H5,'Small Signal'!$B$33*'Small Signal'!$B$6*'Small Signal'!$B$27*'Small Signal'!$B$7*'Small Signal'!$B$8),'Small Signal'!$B$33*'Small Signal'!$B$6*'Small Signal'!$B$27),IMSUM(IMSUM(IMPRODUCT(H5,('Small Signal'!$B$5+'Small Signal'!$B$6)*('Small Signal'!$B$32*'Small Signal'!$B$33)+'Small Signal'!$B$5*'Small Signal'!$B$33*('Small Signal'!$B$8+'Small Signal'!$B$9)+'Small Signal'!$B$6*'Small Signal'!$B$33*('Small Signal'!$B$8+'Small Signal'!$B$9)+'Small Signal'!$B$7*'Small Signal'!$B$8*('Small Signal'!$B$5+'Small Signal'!$B$6)),'Small Signal'!$B$6+'Small Signal'!$B$5),IMPRODUCT(IMPOWER(H5,2),'Small Signal'!$B$32*'Small Signal'!$B$33*'Small Signal'!$B$8*'Small Signal'!$B$7*('Small Signal'!$B$5+'Small Signal'!$B$6)+('Small Signal'!$B$5+'Small Signal'!$B$6)*('Small Signal'!$B$9*'Small Signal'!$B$8*'Small Signal'!$B$33*'Small Signal'!$B$7)))),-1)</f>
        <v>-158.039201476573+17.0040381312434i</v>
      </c>
      <c r="T5" s="229">
        <f t="shared" si="6"/>
        <v>44.02528353065587</v>
      </c>
      <c r="U5" s="229">
        <f t="shared" si="7"/>
        <v>173.85895380389036</v>
      </c>
      <c r="V5" s="229" t="str">
        <f t="shared" si="8"/>
        <v>-2268.01980144945+244.674900933781i</v>
      </c>
      <c r="W5" s="226">
        <f t="shared" si="9"/>
        <v>67.16318896490276</v>
      </c>
      <c r="X5" s="229">
        <f t="shared" si="10"/>
        <v>173.8427207738103</v>
      </c>
      <c r="Y5" s="229" t="str">
        <f t="shared" si="11"/>
        <v>-6649.87451317879+717.572729912501i</v>
      </c>
      <c r="Z5" s="226">
        <f t="shared" si="12"/>
        <v>76.50654641808954</v>
      </c>
      <c r="AA5" s="229">
        <f t="shared" si="13"/>
        <v>173.84117447507634</v>
      </c>
    </row>
    <row r="6" spans="1:27" ht="12.75">
      <c r="A6" s="30" t="s">
        <v>98</v>
      </c>
      <c r="B6" s="173">
        <f t="shared" si="0"/>
        <v>10200</v>
      </c>
      <c r="C6" s="89">
        <f>Rls</f>
        <v>10200</v>
      </c>
      <c r="D6" s="3"/>
      <c r="F6" s="78">
        <v>4</v>
      </c>
      <c r="G6" s="229">
        <f>10^('Small Signal'!F6/30)</f>
        <v>1.3593563908785258</v>
      </c>
      <c r="H6" s="229" t="str">
        <f t="shared" si="1"/>
        <v>8.54108810238862i</v>
      </c>
      <c r="I6" s="229">
        <f>IF('Small Signal'!$B$37&gt;=1,Q6+0,N6+0)</f>
        <v>23.137905379007226</v>
      </c>
      <c r="J6" s="229">
        <f>IF('Small Signal'!$B$37&gt;=1,R6,O6)</f>
        <v>-0.01752802261723789</v>
      </c>
      <c r="K6" s="229">
        <f>IF('Small Signal'!$B$37&gt;=1,Z6+0,W6+0)</f>
        <v>67.15489843909137</v>
      </c>
      <c r="L6" s="229">
        <f>IF('Small Signal'!$B$37&gt;=1,AA6,X6)</f>
        <v>173.35576142960383</v>
      </c>
      <c r="M6" s="229" t="str">
        <f>IMDIV(IMSUM('Small Signal'!$B$2*'Small Signal'!$B$16*'Small Signal'!$B$38,IMPRODUCT(H6,'Small Signal'!$B$2*'Small Signal'!$B$16*'Small Signal'!$B$38*'Small Signal'!$B$13*'Small Signal'!$B$14)),IMSUM(IMPRODUCT('Small Signal'!$B$11*'Small Signal'!$B$13*('Small Signal'!$B$14+'Small Signal'!$B$16),IMPOWER(H6,2)),IMSUM(IMPRODUCT(H6,('Small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14.351432365657-0.00439041481030885i</v>
      </c>
      <c r="N6" s="229">
        <f t="shared" si="2"/>
        <v>23.137905379007226</v>
      </c>
      <c r="O6" s="229">
        <f t="shared" si="3"/>
        <v>-0.01752802261723789</v>
      </c>
      <c r="P6" s="229" t="str">
        <f>IMDIV(IMSUM('Small Signal'!$B$48,IMPRODUCT(H6,'Small Signal'!$B$49)),IMSUM(IMPRODUCT('Small Signal'!$B$52,IMPOWER(H6,2)),IMSUM(IMPRODUCT(H6,'Small Signal'!$B$51),'Small Signal'!$B$50)))</f>
        <v>42.0787778704845-0.0140990287382964i</v>
      </c>
      <c r="Q6" s="229">
        <f t="shared" si="4"/>
        <v>32.481262842511384</v>
      </c>
      <c r="R6" s="229">
        <f t="shared" si="5"/>
        <v>-0.019197677608273737</v>
      </c>
      <c r="S6" s="229" t="str">
        <f>IMPRODUCT(IMDIV(IMSUM(IMPRODUCT(H6,'Small Signal'!$B$33*'Small Signal'!$B$6*'Small Signal'!$B$27*'Small Signal'!$B$7*'Small Signal'!$B$8),'Small Signal'!$B$33*'Small Signal'!$B$6*'Small Signal'!$B$27),IMSUM(IMSUM(IMPRODUCT(H6,('Small Signal'!$B$5+'Small Signal'!$B$6)*('Small Signal'!$B$32*'Small Signal'!$B$33)+'Small Signal'!$B$5*'Small Signal'!$B$33*('Small Signal'!$B$8+'Small Signal'!$B$9)+'Small Signal'!$B$6*'Small Signal'!$B$33*('Small Signal'!$B$8+'Small Signal'!$B$9)+'Small Signal'!$B$7*'Small Signal'!$B$8*('Small Signal'!$B$5+'Small Signal'!$B$6)),'Small Signal'!$B$6+'Small Signal'!$B$5),IMPRODUCT(IMPOWER(H6,2),'Small Signal'!$B$32*'Small Signal'!$B$33*'Small Signal'!$B$8*'Small Signal'!$B$7*('Small Signal'!$B$5+'Small Signal'!$B$6)+('Small Signal'!$B$5+'Small Signal'!$B$6)*('Small Signal'!$B$9*'Small Signal'!$B$8*'Small Signal'!$B$33*'Small Signal'!$B$7)))),-1)</f>
        <v>-157.738762240001+18.3255217316078i</v>
      </c>
      <c r="T6" s="229">
        <f t="shared" si="6"/>
        <v>44.01699306008413</v>
      </c>
      <c r="U6" s="229">
        <f t="shared" si="7"/>
        <v>173.37328945222106</v>
      </c>
      <c r="V6" s="229" t="str">
        <f t="shared" si="8"/>
        <v>-2263.69672108781+263.690024294445i</v>
      </c>
      <c r="W6" s="226">
        <f t="shared" si="9"/>
        <v>67.15489843909137</v>
      </c>
      <c r="X6" s="229">
        <f t="shared" si="10"/>
        <v>173.35576142960383</v>
      </c>
      <c r="Y6" s="229" t="str">
        <f t="shared" si="11"/>
        <v>-6637.19596580463+773.339521647026i</v>
      </c>
      <c r="Z6" s="226">
        <f t="shared" si="12"/>
        <v>76.49825590259552</v>
      </c>
      <c r="AA6" s="229">
        <f t="shared" si="13"/>
        <v>173.35409177461278</v>
      </c>
    </row>
    <row r="7" spans="1:27" ht="12.75">
      <c r="A7" s="30" t="s">
        <v>35</v>
      </c>
      <c r="B7" s="174">
        <f t="shared" si="0"/>
        <v>9310</v>
      </c>
      <c r="C7" s="159">
        <f>Rcomp</f>
        <v>9310</v>
      </c>
      <c r="D7" s="4"/>
      <c r="F7" s="78">
        <v>5</v>
      </c>
      <c r="G7" s="229">
        <f>10^('Small Signal'!F7/30)</f>
        <v>1.4677992676220697</v>
      </c>
      <c r="H7" s="229" t="str">
        <f t="shared" si="1"/>
        <v>9.22245479221194i</v>
      </c>
      <c r="I7" s="229">
        <f>IF('Small Signal'!$B$37&gt;=1,Q7+0,N7+0)</f>
        <v>23.137905314602506</v>
      </c>
      <c r="J7" s="229">
        <f>IF('Small Signal'!$B$37&gt;=1,R7,O7)</f>
        <v>-0.018926323375482616</v>
      </c>
      <c r="K7" s="229">
        <f>IF('Small Signal'!$B$37&gt;=1,Z7+0,W7+0)</f>
        <v>67.1452523364027</v>
      </c>
      <c r="L7" s="229">
        <f>IF('Small Signal'!$B$37&gt;=1,AA7,X7)</f>
        <v>172.83103909012635</v>
      </c>
      <c r="M7" s="229" t="str">
        <f>IMDIV(IMSUM('Small Signal'!$B$2*'Small Signal'!$B$16*'Small Signal'!$B$38,IMPRODUCT(H7,'Small Signal'!$B$2*'Small Signal'!$B$16*'Small Signal'!$B$38*'Small Signal'!$B$13*'Small Signal'!$B$14)),IMSUM(IMPRODUCT('Small Signal'!$B$11*'Small Signal'!$B$13*('Small Signal'!$B$14+'Small Signal'!$B$16),IMPOWER(H7,2)),IMSUM(IMPRODUCT(H7,('Small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14.3514321478213-0.00474066079419121i</v>
      </c>
      <c r="N7" s="229">
        <f t="shared" si="2"/>
        <v>23.137905314602506</v>
      </c>
      <c r="O7" s="229">
        <f t="shared" si="3"/>
        <v>-0.018926323375482616</v>
      </c>
      <c r="P7" s="229" t="str">
        <f>IMDIV(IMSUM('Small Signal'!$B$48,IMPRODUCT(H7,'Small Signal'!$B$49)),IMSUM(IMPRODUCT('Small Signal'!$B$52,IMPOWER(H7,2)),IMSUM(IMPRODUCT(H7,'Small Signal'!$B$51),'Small Signal'!$B$50)))</f>
        <v>42.0787772248568-0.0152237808611455i</v>
      </c>
      <c r="Q7" s="229">
        <f t="shared" si="4"/>
        <v>32.48126279013588</v>
      </c>
      <c r="R7" s="229">
        <f t="shared" si="5"/>
        <v>-0.020729175395398623</v>
      </c>
      <c r="S7" s="229" t="str">
        <f>IMPRODUCT(IMDIV(IMSUM(IMPRODUCT(H7,'Small Signal'!$B$33*'Small Signal'!$B$6*'Small Signal'!$B$27*'Small Signal'!$B$7*'Small Signal'!$B$8),'Small Signal'!$B$33*'Small Signal'!$B$6*'Small Signal'!$B$27),IMSUM(IMSUM(IMPRODUCT(H7,('Small Signal'!$B$5+'Small Signal'!$B$6)*('Small Signal'!$B$32*'Small Signal'!$B$33)+'Small Signal'!$B$5*'Small Signal'!$B$33*('Small Signal'!$B$8+'Small Signal'!$B$9)+'Small Signal'!$B$6*'Small Signal'!$B$33*('Small Signal'!$B$8+'Small Signal'!$B$9)+'Small Signal'!$B$7*'Small Signal'!$B$8*('Small Signal'!$B$5+'Small Signal'!$B$6)),'Small Signal'!$B$6+'Small Signal'!$B$5),IMPRODUCT(IMPOWER(H7,2),'Small Signal'!$B$32*'Small Signal'!$B$33*'Small Signal'!$B$8*'Small Signal'!$B$7*('Small Signal'!$B$5+'Small Signal'!$B$6)+('Small Signal'!$B$5+'Small Signal'!$B$6)*('Small Signal'!$B$9*'Small Signal'!$B$8*'Small Signal'!$B$33*'Small Signal'!$B$7)))),-1)</f>
        <v>-157.38991953388+19.7435419807049i</v>
      </c>
      <c r="T7" s="229">
        <f t="shared" si="6"/>
        <v>44.0073470218002</v>
      </c>
      <c r="U7" s="229">
        <f t="shared" si="7"/>
        <v>172.84996541350182</v>
      </c>
      <c r="V7" s="229" t="str">
        <f t="shared" si="8"/>
        <v>-2258.67715350613+284.094235314683i</v>
      </c>
      <c r="W7" s="226">
        <f t="shared" si="9"/>
        <v>67.1452523364027</v>
      </c>
      <c r="X7" s="229">
        <f t="shared" si="10"/>
        <v>172.83103909012635</v>
      </c>
      <c r="Y7" s="229" t="str">
        <f t="shared" si="11"/>
        <v>-6622.47479014774+833.180174280427i</v>
      </c>
      <c r="Z7" s="226">
        <f t="shared" si="12"/>
        <v>76.48860981193609</v>
      </c>
      <c r="AA7" s="229">
        <f t="shared" si="13"/>
        <v>172.82923623810643</v>
      </c>
    </row>
    <row r="8" spans="1:27" ht="12.75">
      <c r="A8" s="30" t="s">
        <v>37</v>
      </c>
      <c r="B8" s="175">
        <f t="shared" si="0"/>
        <v>4.700000000000001E-09</v>
      </c>
      <c r="C8" s="158">
        <f>Ccomp</f>
        <v>4.700000000000001E-09</v>
      </c>
      <c r="D8" s="1"/>
      <c r="F8" s="78">
        <v>6</v>
      </c>
      <c r="G8" s="229">
        <f>10^('Small Signal'!F8/30)</f>
        <v>1.5848931924611136</v>
      </c>
      <c r="H8" s="229" t="str">
        <f t="shared" si="1"/>
        <v>9.95817762032062i</v>
      </c>
      <c r="I8" s="229">
        <f>IF('Small Signal'!$B$37&gt;=1,Q8+0,N8+0)</f>
        <v>23.137905239512158</v>
      </c>
      <c r="J8" s="229">
        <f>IF('Small Signal'!$B$37&gt;=1,R8,O8)</f>
        <v>-0.020436173780051782</v>
      </c>
      <c r="K8" s="229">
        <f>IF('Small Signal'!$B$37&gt;=1,Z8+0,W8+0)</f>
        <v>67.13403279189083</v>
      </c>
      <c r="L8" s="229">
        <f>IF('Small Signal'!$B$37&gt;=1,AA8,X8)</f>
        <v>172.26581586002658</v>
      </c>
      <c r="M8" s="229" t="str">
        <f>IMDIV(IMSUM('Small Signal'!$B$2*'Small Signal'!$B$16*'Small Signal'!$B$38,IMPRODUCT(H8,'Small Signal'!$B$2*'Small Signal'!$B$16*'Small Signal'!$B$38*'Small Signal'!$B$13*'Small Signal'!$B$14)),IMSUM(IMPRODUCT('Small Signal'!$B$11*'Small Signal'!$B$13*('Small Signal'!$B$14+'Small Signal'!$B$16),IMPOWER(H8,2)),IMSUM(IMPRODUCT(H8,('Small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14.3514318938436-0.00511884769009101i</v>
      </c>
      <c r="N8" s="229">
        <f t="shared" si="2"/>
        <v>23.137905239512158</v>
      </c>
      <c r="O8" s="229">
        <f t="shared" si="3"/>
        <v>-0.020436173780051782</v>
      </c>
      <c r="P8" s="229" t="str">
        <f>IMDIV(IMSUM('Small Signal'!$B$48,IMPRODUCT(H8,'Small Signal'!$B$49)),IMSUM(IMPRODUCT('Small Signal'!$B$52,IMPOWER(H8,2)),IMSUM(IMPRODUCT(H8,'Small Signal'!$B$51),'Small Signal'!$B$50)))</f>
        <v>42.0787764721103-0.0164382602196835i</v>
      </c>
      <c r="Q8" s="229">
        <f t="shared" si="4"/>
        <v>32.481262729070544</v>
      </c>
      <c r="R8" s="229">
        <f t="shared" si="5"/>
        <v>-0.022382848651459418</v>
      </c>
      <c r="S8" s="229" t="str">
        <f>IMPRODUCT(IMDIV(IMSUM(IMPRODUCT(H8,'Small Signal'!$B$33*'Small Signal'!$B$6*'Small Signal'!$B$27*'Small Signal'!$B$7*'Small Signal'!$B$8),'Small Signal'!$B$33*'Small Signal'!$B$6*'Small Signal'!$B$27),IMSUM(IMSUM(IMPRODUCT(H8,('Small Signal'!$B$5+'Small Signal'!$B$6)*('Small Signal'!$B$32*'Small Signal'!$B$33)+'Small Signal'!$B$5*'Small Signal'!$B$33*('Small Signal'!$B$8+'Small Signal'!$B$9)+'Small Signal'!$B$6*'Small Signal'!$B$33*('Small Signal'!$B$8+'Small Signal'!$B$9)+'Small Signal'!$B$7*'Small Signal'!$B$8*('Small Signal'!$B$5+'Small Signal'!$B$6)),'Small Signal'!$B$6+'Small Signal'!$B$5),IMPRODUCT(IMPOWER(H8,2),'Small Signal'!$B$32*'Small Signal'!$B$33*'Small Signal'!$B$8*'Small Signal'!$B$7*('Small Signal'!$B$5+'Small Signal'!$B$6)+('Small Signal'!$B$5+'Small Signal'!$B$6)*('Small Signal'!$B$9*'Small Signal'!$B$8*'Small Signal'!$B$33*'Small Signal'!$B$7)))),-1)</f>
        <v>-156.985148206539+21.263582784016i</v>
      </c>
      <c r="T8" s="229">
        <f t="shared" si="6"/>
        <v>43.99612755237869</v>
      </c>
      <c r="U8" s="229">
        <f t="shared" si="7"/>
        <v>172.28625203380665</v>
      </c>
      <c r="V8" s="229" t="str">
        <f t="shared" si="8"/>
        <v>-2252.85281778947+305.966443207187i</v>
      </c>
      <c r="W8" s="226">
        <f t="shared" si="9"/>
        <v>67.13403279189083</v>
      </c>
      <c r="X8" s="229">
        <f t="shared" si="10"/>
        <v>172.26581586002658</v>
      </c>
      <c r="Y8" s="229" t="str">
        <f t="shared" si="11"/>
        <v>-6605.39342451706+897.326109681667i</v>
      </c>
      <c r="Z8" s="226">
        <f t="shared" si="12"/>
        <v>76.47739028144923</v>
      </c>
      <c r="AA8" s="229">
        <f t="shared" si="13"/>
        <v>172.2638691851552</v>
      </c>
    </row>
    <row r="9" spans="1:27" ht="12.75">
      <c r="A9" s="30" t="s">
        <v>62</v>
      </c>
      <c r="B9" s="175">
        <f t="shared" si="0"/>
        <v>4.7E-11</v>
      </c>
      <c r="C9" s="158">
        <f>Cpole</f>
        <v>4.7E-11</v>
      </c>
      <c r="D9" s="1"/>
      <c r="F9" s="78">
        <v>7</v>
      </c>
      <c r="G9" s="229">
        <f>10^('Small Signal'!F9/30)</f>
        <v>1.7113283041617808</v>
      </c>
      <c r="H9" s="229" t="str">
        <f t="shared" si="1"/>
        <v>10.7525928564699i</v>
      </c>
      <c r="I9" s="229">
        <f>IF('Small Signal'!$B$37&gt;=1,Q9+0,N9+0)</f>
        <v>23.13790515196315</v>
      </c>
      <c r="J9" s="229">
        <f>IF('Small Signal'!$B$37&gt;=1,R9,O9)</f>
        <v>-0.02206647271596582</v>
      </c>
      <c r="K9" s="229">
        <f>IF('Small Signal'!$B$37&gt;=1,Z9+0,W9+0)</f>
        <v>67.12098825585326</v>
      </c>
      <c r="L9" s="229">
        <f>IF('Small Signal'!$B$37&gt;=1,AA9,X9)</f>
        <v>171.65720375862077</v>
      </c>
      <c r="M9" s="229" t="str">
        <f>IMDIV(IMSUM('Small Signal'!$B$2*'Small Signal'!$B$16*'Small Signal'!$B$38,IMPRODUCT(H9,'Small Signal'!$B$2*'Small Signal'!$B$16*'Small Signal'!$B$38*'Small Signal'!$B$13*'Small Signal'!$B$14)),IMSUM(IMPRODUCT('Small Signal'!$B$11*'Small Signal'!$B$13*('Small Signal'!$B$14+'Small Signal'!$B$16),IMPOWER(H9,2)),IMSUM(IMPRODUCT(H9,('Small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14.3514315977272-0.00552720448408719i</v>
      </c>
      <c r="N9" s="229">
        <f t="shared" si="2"/>
        <v>23.13790515196315</v>
      </c>
      <c r="O9" s="229">
        <f t="shared" si="3"/>
        <v>-0.02206647271596582</v>
      </c>
      <c r="P9" s="229" t="str">
        <f>IMDIV(IMSUM('Small Signal'!$B$48,IMPRODUCT(H9,'Small Signal'!$B$49)),IMSUM(IMPRODUCT('Small Signal'!$B$52,IMPOWER(H9,2)),IMSUM(IMPRODUCT(H9,'Small Signal'!$B$51),'Small Signal'!$B$50)))</f>
        <v>42.0787755944721-0.0177496248064061i</v>
      </c>
      <c r="Q9" s="229">
        <f t="shared" si="4"/>
        <v>32.48126265787354</v>
      </c>
      <c r="R9" s="229">
        <f t="shared" si="5"/>
        <v>-0.024168443940274075</v>
      </c>
      <c r="S9" s="229" t="str">
        <f>IMPRODUCT(IMDIV(IMSUM(IMPRODUCT(H9,'Small Signal'!$B$33*'Small Signal'!$B$6*'Small Signal'!$B$27*'Small Signal'!$B$7*'Small Signal'!$B$8),'Small Signal'!$B$33*'Small Signal'!$B$6*'Small Signal'!$B$27),IMSUM(IMSUM(IMPRODUCT(H9,('Small Signal'!$B$5+'Small Signal'!$B$6)*('Small Signal'!$B$32*'Small Signal'!$B$33)+'Small Signal'!$B$5*'Small Signal'!$B$33*('Small Signal'!$B$8+'Small Signal'!$B$9)+'Small Signal'!$B$6*'Small Signal'!$B$33*('Small Signal'!$B$8+'Small Signal'!$B$9)+'Small Signal'!$B$7*'Small Signal'!$B$8*('Small Signal'!$B$5+'Small Signal'!$B$6)),'Small Signal'!$B$6+'Small Signal'!$B$5),IMPRODUCT(IMPOWER(H9,2),'Small Signal'!$B$32*'Small Signal'!$B$33*'Small Signal'!$B$8*'Small Signal'!$B$7*('Small Signal'!$B$5+'Small Signal'!$B$6)+('Small Signal'!$B$5+'Small Signal'!$B$6)*('Small Signal'!$B$9*'Small Signal'!$B$8*'Small Signal'!$B$33*'Small Signal'!$B$7)))),-1)</f>
        <v>-156.515848815793+22.8910290915586i</v>
      </c>
      <c r="T9" s="229">
        <f t="shared" si="6"/>
        <v>43.98308310389013</v>
      </c>
      <c r="U9" s="229">
        <f t="shared" si="7"/>
        <v>171.67927023133674</v>
      </c>
      <c r="V9" s="229" t="str">
        <f t="shared" si="8"/>
        <v>-2246.09997484142+329.384133310492i</v>
      </c>
      <c r="W9" s="226">
        <f t="shared" si="9"/>
        <v>67.12098825585326</v>
      </c>
      <c r="X9" s="229">
        <f t="shared" si="10"/>
        <v>171.65720375862077</v>
      </c>
      <c r="Y9" s="229" t="str">
        <f t="shared" si="11"/>
        <v>-6585.58897212027+966.004573862963i</v>
      </c>
      <c r="Z9" s="226">
        <f t="shared" si="12"/>
        <v>76.46434576176368</v>
      </c>
      <c r="AA9" s="229">
        <f t="shared" si="13"/>
        <v>171.6551017873965</v>
      </c>
    </row>
    <row r="10" spans="1:27" ht="12.75">
      <c r="A10" s="30" t="s">
        <v>57</v>
      </c>
      <c r="B10" s="173">
        <f t="shared" si="0"/>
        <v>600000</v>
      </c>
      <c r="C10" s="89">
        <f>fsw</f>
        <v>600000</v>
      </c>
      <c r="D10" s="23"/>
      <c r="F10" s="78">
        <v>8</v>
      </c>
      <c r="G10" s="229">
        <f>10^('Small Signal'!F10/30)</f>
        <v>1.8478497974222912</v>
      </c>
      <c r="H10" s="229" t="str">
        <f t="shared" si="1"/>
        <v>11.6103826970385i</v>
      </c>
      <c r="I10" s="229">
        <f>IF('Small Signal'!$B$37&gt;=1,Q10+0,N10+0)</f>
        <v>23.137905049888538</v>
      </c>
      <c r="J10" s="229">
        <f>IF('Small Signal'!$B$37&gt;=1,R10,O10)</f>
        <v>-0.023826828976656122</v>
      </c>
      <c r="K10" s="229">
        <f>IF('Small Signal'!$B$37&gt;=1,Z10+0,W10+0)</f>
        <v>67.10582875039935</v>
      </c>
      <c r="L10" s="229">
        <f>IF('Small Signal'!$B$37&gt;=1,AA10,X10)</f>
        <v>171.00216918192893</v>
      </c>
      <c r="M10" s="229" t="str">
        <f>IMDIV(IMSUM('Small Signal'!$B$2*'Small Signal'!$B$16*'Small Signal'!$B$38,IMPRODUCT(H10,'Small Signal'!$B$2*'Small Signal'!$B$16*'Small Signal'!$B$38*'Small Signal'!$B$13*'Small Signal'!$B$14)),IMSUM(IMPRODUCT('Small Signal'!$B$11*'Small Signal'!$B$13*('Small Signal'!$B$14+'Small Signal'!$B$16),IMPOWER(H10,2)),IMSUM(IMPRODUCT(H10,('Small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14.3514312524809-0.00596813797876468i</v>
      </c>
      <c r="N10" s="229">
        <f t="shared" si="2"/>
        <v>23.137905049888538</v>
      </c>
      <c r="O10" s="229">
        <f t="shared" si="3"/>
        <v>-0.023826828976656122</v>
      </c>
      <c r="P10" s="229" t="str">
        <f>IMDIV(IMSUM('Small Signal'!$B$48,IMPRODUCT(H10,'Small Signal'!$B$49)),IMSUM(IMPRODUCT('Small Signal'!$B$52,IMPOWER(H10,2)),IMSUM(IMPRODUCT(H10,'Small Signal'!$B$51),'Small Signal'!$B$50)))</f>
        <v>42.0787745712213-0.0191656036406389i</v>
      </c>
      <c r="Q10" s="229">
        <f t="shared" si="4"/>
        <v>32.48126257486397</v>
      </c>
      <c r="R10" s="229">
        <f t="shared" si="5"/>
        <v>-0.026096485358323162</v>
      </c>
      <c r="S10" s="229" t="str">
        <f>IMPRODUCT(IMDIV(IMSUM(IMPRODUCT(H10,'Small Signal'!$B$33*'Small Signal'!$B$6*'Small Signal'!$B$27*'Small Signal'!$B$7*'Small Signal'!$B$8),'Small Signal'!$B$33*'Small Signal'!$B$6*'Small Signal'!$B$27),IMSUM(IMSUM(IMPRODUCT(H10,('Small Signal'!$B$5+'Small Signal'!$B$6)*('Small Signal'!$B$32*'Small Signal'!$B$33)+'Small Signal'!$B$5*'Small Signal'!$B$33*('Small Signal'!$B$8+'Small Signal'!$B$9)+'Small Signal'!$B$6*'Small Signal'!$B$33*('Small Signal'!$B$8+'Small Signal'!$B$9)+'Small Signal'!$B$7*'Small Signal'!$B$8*('Small Signal'!$B$5+'Small Signal'!$B$6)),'Small Signal'!$B$6+'Small Signal'!$B$5),IMPRODUCT(IMPOWER(H10,2),'Small Signal'!$B$32*'Small Signal'!$B$33*'Small Signal'!$B$8*'Small Signal'!$B$7*('Small Signal'!$B$5+'Small Signal'!$B$6)+('Small Signal'!$B$5+'Small Signal'!$B$6)*('Small Signal'!$B$9*'Small Signal'!$B$8*'Small Signal'!$B$33*'Small Signal'!$B$7)))),-1)</f>
        <v>-155.97222779434+24.6310368832572i</v>
      </c>
      <c r="T10" s="229">
        <f t="shared" si="6"/>
        <v>43.96792370051082</v>
      </c>
      <c r="U10" s="229">
        <f t="shared" si="7"/>
        <v>171.02599601090557</v>
      </c>
      <c r="V10" s="229" t="str">
        <f t="shared" si="8"/>
        <v>-2238.27770306008+354.421496283719i</v>
      </c>
      <c r="W10" s="226">
        <f t="shared" si="9"/>
        <v>67.10582875039935</v>
      </c>
      <c r="X10" s="229">
        <f t="shared" si="10"/>
        <v>171.00216918192893</v>
      </c>
      <c r="Y10" s="229" t="str">
        <f t="shared" si="11"/>
        <v>-6562.64814403905+1039.43315036287i</v>
      </c>
      <c r="Z10" s="226">
        <f t="shared" si="12"/>
        <v>76.4491862753748</v>
      </c>
      <c r="AA10" s="229">
        <f t="shared" si="13"/>
        <v>170.99989952554728</v>
      </c>
    </row>
    <row r="11" spans="1:27" ht="12.75">
      <c r="A11" s="30" t="s">
        <v>51</v>
      </c>
      <c r="B11" s="175">
        <f t="shared" si="0"/>
        <v>7.275132275132274E-06</v>
      </c>
      <c r="C11" s="158">
        <f>L</f>
        <v>7.275132275132274E-06</v>
      </c>
      <c r="D11" s="1"/>
      <c r="F11" s="78">
        <v>9</v>
      </c>
      <c r="G11" s="229">
        <f>10^('Small Signal'!F11/30)</f>
        <v>1.9952623149688797</v>
      </c>
      <c r="H11" s="229" t="str">
        <f t="shared" si="1"/>
        <v>12.5366028613816i</v>
      </c>
      <c r="I11" s="229">
        <f>IF('Small Signal'!$B$37&gt;=1,Q11+0,N11+0)</f>
        <v>23.137904930878292</v>
      </c>
      <c r="J11" s="229">
        <f>IF('Small Signal'!$B$37&gt;=1,R11,O11)</f>
        <v>-0.025727617896614922</v>
      </c>
      <c r="K11" s="229">
        <f>IF('Small Signal'!$B$37&gt;=1,Z11+0,W11+0)</f>
        <v>67.08822062067624</v>
      </c>
      <c r="L11" s="229">
        <f>IF('Small Signal'!$B$37&gt;=1,AA11,X11)</f>
        <v>170.29754141877038</v>
      </c>
      <c r="M11" s="229" t="str">
        <f>IMDIV(IMSUM('Small Signal'!$B$2*'Small Signal'!$B$16*'Small Signal'!$B$38,IMPRODUCT(H11,'Small Signal'!$B$2*'Small Signal'!$B$16*'Small Signal'!$B$38*'Small Signal'!$B$13*'Small Signal'!$B$14)),IMSUM(IMPRODUCT('Small Signal'!$B$11*'Small Signal'!$B$13*('Small Signal'!$B$14+'Small Signal'!$B$16),IMPOWER(H11,2)),IMSUM(IMPRODUCT(H11,('Small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14.3514308499533-0.00644424697823924i</v>
      </c>
      <c r="N11" s="229">
        <f t="shared" si="2"/>
        <v>23.137904930878292</v>
      </c>
      <c r="O11" s="229">
        <f t="shared" si="3"/>
        <v>-0.025727617896614922</v>
      </c>
      <c r="P11" s="229" t="str">
        <f>IMDIV(IMSUM('Small Signal'!$B$48,IMPRODUCT(H11,'Small Signal'!$B$49)),IMSUM(IMPRODUCT('Small Signal'!$B$52,IMPOWER(H11,2)),IMSUM(IMPRODUCT(H11,'Small Signal'!$B$51),'Small Signal'!$B$50)))</f>
        <v>42.0787733781985-0.0206945423214706i</v>
      </c>
      <c r="Q11" s="229">
        <f t="shared" si="4"/>
        <v>32.481262478081916</v>
      </c>
      <c r="R11" s="229">
        <f t="shared" si="5"/>
        <v>-0.02817833656227288</v>
      </c>
      <c r="S11" s="229" t="str">
        <f>IMPRODUCT(IMDIV(IMSUM(IMPRODUCT(H11,'Small Signal'!$B$33*'Small Signal'!$B$6*'Small Signal'!$B$27*'Small Signal'!$B$7*'Small Signal'!$B$8),'Small Signal'!$B$33*'Small Signal'!$B$6*'Small Signal'!$B$27),IMSUM(IMSUM(IMPRODUCT(H11,('Small Signal'!$B$5+'Small Signal'!$B$6)*('Small Signal'!$B$32*'Small Signal'!$B$33)+'Small Signal'!$B$5*'Small Signal'!$B$33*('Small Signal'!$B$8+'Small Signal'!$B$9)+'Small Signal'!$B$6*'Small Signal'!$B$33*('Small Signal'!$B$8+'Small Signal'!$B$9)+'Small Signal'!$B$7*'Small Signal'!$B$8*('Small Signal'!$B$5+'Small Signal'!$B$6)),'Small Signal'!$B$6+'Small Signal'!$B$5),IMPRODUCT(IMPOWER(H11,2),'Small Signal'!$B$32*'Small Signal'!$B$33*'Small Signal'!$B$8*'Small Signal'!$B$7*('Small Signal'!$B$5+'Small Signal'!$B$6)+('Small Signal'!$B$5+'Small Signal'!$B$6)*('Small Signal'!$B$9*'Small Signal'!$B$8*'Small Signal'!$B$33*'Small Signal'!$B$7)))),-1)</f>
        <v>-155.343176394734+26.4883684307219i</v>
      </c>
      <c r="T11" s="229">
        <f t="shared" si="6"/>
        <v>43.95031568979796</v>
      </c>
      <c r="U11" s="229">
        <f t="shared" si="7"/>
        <v>170.323269036667</v>
      </c>
      <c r="V11" s="229" t="str">
        <f t="shared" si="8"/>
        <v>-2229.2261564529+381.147057656663i</v>
      </c>
      <c r="W11" s="226">
        <f t="shared" si="9"/>
        <v>67.08822062067624</v>
      </c>
      <c r="X11" s="229">
        <f t="shared" si="10"/>
        <v>170.29754141877038</v>
      </c>
      <c r="Y11" s="229" t="str">
        <f t="shared" si="11"/>
        <v>-6536.10215070201+1117.81280829283i</v>
      </c>
      <c r="Z11" s="226">
        <f t="shared" si="12"/>
        <v>76.43157816787988</v>
      </c>
      <c r="AA11" s="229">
        <f t="shared" si="13"/>
        <v>170.2950907001047</v>
      </c>
    </row>
    <row r="12" spans="1:27" ht="12.75">
      <c r="A12" s="30" t="s">
        <v>24</v>
      </c>
      <c r="B12" s="176">
        <f t="shared" si="0"/>
        <v>0.026000000000000002</v>
      </c>
      <c r="C12" s="92">
        <f>Rdc</f>
        <v>0.026000000000000002</v>
      </c>
      <c r="D12" s="58"/>
      <c r="F12" s="78">
        <v>10</v>
      </c>
      <c r="G12" s="229">
        <f>10^('Small Signal'!F12/30)</f>
        <v>2.154434690031884</v>
      </c>
      <c r="H12" s="229" t="str">
        <f t="shared" si="1"/>
        <v>13.5367123896863i</v>
      </c>
      <c r="I12" s="229">
        <f>IF('Small Signal'!$B$37&gt;=1,Q12+0,N12+0)</f>
        <v>23.137904792122534</v>
      </c>
      <c r="J12" s="229">
        <f>IF('Small Signal'!$B$37&gt;=1,R12,O12)</f>
        <v>-0.027780042501814345</v>
      </c>
      <c r="K12" s="229">
        <f>IF('Small Signal'!$B$37&gt;=1,Z12+0,W12+0)</f>
        <v>67.06778078595693</v>
      </c>
      <c r="L12" s="229">
        <f>IF('Small Signal'!$B$37&gt;=1,AA12,X12)</f>
        <v>169.5400262619984</v>
      </c>
      <c r="M12" s="229" t="str">
        <f>IMDIV(IMSUM('Small Signal'!$B$2*'Small Signal'!$B$16*'Small Signal'!$B$38,IMPRODUCT(H12,'Small Signal'!$B$2*'Small Signal'!$B$16*'Small Signal'!$B$38*'Small Signal'!$B$13*'Small Signal'!$B$14)),IMSUM(IMPRODUCT('Small Signal'!$B$11*'Small Signal'!$B$13*('Small Signal'!$B$14+'Small Signal'!$B$16),IMPOWER(H12,2)),IMSUM(IMPRODUCT(H12,('Small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14.3514303806406-0.00695833760471265i</v>
      </c>
      <c r="N12" s="229">
        <f t="shared" si="2"/>
        <v>23.137904792122534</v>
      </c>
      <c r="O12" s="229">
        <f t="shared" si="3"/>
        <v>-0.027780042501814345</v>
      </c>
      <c r="P12" s="229" t="str">
        <f>IMDIV(IMSUM('Small Signal'!$B$48,IMPRODUCT(H12,'Small Signal'!$B$49)),IMSUM(IMPRODUCT('Small Signal'!$B$52,IMPOWER(H12,2)),IMSUM(IMPRODUCT(H12,'Small Signal'!$B$51),'Small Signal'!$B$50)))</f>
        <v>42.0787719872359-0.0223454522144652i</v>
      </c>
      <c r="Q12" s="229">
        <f t="shared" si="4"/>
        <v>32.481262365242294</v>
      </c>
      <c r="R12" s="229">
        <f t="shared" si="5"/>
        <v>-0.030426267744682236</v>
      </c>
      <c r="S12" s="229" t="str">
        <f>IMPRODUCT(IMDIV(IMSUM(IMPRODUCT(H12,'Small Signal'!$B$33*'Small Signal'!$B$6*'Small Signal'!$B$27*'Small Signal'!$B$7*'Small Signal'!$B$8),'Small Signal'!$B$33*'Small Signal'!$B$6*'Small Signal'!$B$27),IMSUM(IMSUM(IMPRODUCT(H12,('Small Signal'!$B$5+'Small Signal'!$B$6)*('Small Signal'!$B$32*'Small Signal'!$B$33)+'Small Signal'!$B$5*'Small Signal'!$B$33*('Small Signal'!$B$8+'Small Signal'!$B$9)+'Small Signal'!$B$6*'Small Signal'!$B$33*('Small Signal'!$B$8+'Small Signal'!$B$9)+'Small Signal'!$B$7*'Small Signal'!$B$8*('Small Signal'!$B$5+'Small Signal'!$B$6)),'Small Signal'!$B$6+'Small Signal'!$B$5),IMPRODUCT(IMPOWER(H12,2),'Small Signal'!$B$32*'Small Signal'!$B$33*'Small Signal'!$B$8*'Small Signal'!$B$7*('Small Signal'!$B$5+'Small Signal'!$B$6)+('Small Signal'!$B$5+'Small Signal'!$B$6)*('Small Signal'!$B$9*'Small Signal'!$B$8*'Small Signal'!$B$33*'Small Signal'!$B$7)))),-1)</f>
        <v>-154.616153665361+28.4671867741578i</v>
      </c>
      <c r="T12" s="229">
        <f t="shared" si="6"/>
        <v>43.92987599383437</v>
      </c>
      <c r="U12" s="229">
        <f t="shared" si="7"/>
        <v>169.5678063045002</v>
      </c>
      <c r="V12" s="229" t="str">
        <f t="shared" si="8"/>
        <v>-2218.76488075463+409.620720518364i</v>
      </c>
      <c r="W12" s="226">
        <f t="shared" si="9"/>
        <v>67.06778078595693</v>
      </c>
      <c r="X12" s="229">
        <f t="shared" si="10"/>
        <v>169.5400262619984</v>
      </c>
      <c r="Y12" s="229" t="str">
        <f t="shared" si="11"/>
        <v>-6505.42176346641+1201.31922926116i</v>
      </c>
      <c r="Z12" s="226">
        <f t="shared" si="12"/>
        <v>76.41113835907666</v>
      </c>
      <c r="AA12" s="229">
        <f t="shared" si="13"/>
        <v>169.53738003675548</v>
      </c>
    </row>
    <row r="13" spans="1:27" ht="12.75">
      <c r="A13" s="30" t="s">
        <v>49</v>
      </c>
      <c r="B13" s="175">
        <f t="shared" si="0"/>
        <v>2.9166666666666666E-05</v>
      </c>
      <c r="C13" s="158">
        <f>Co</f>
        <v>2.9166666666666666E-05</v>
      </c>
      <c r="D13" s="1"/>
      <c r="F13" s="78">
        <v>11</v>
      </c>
      <c r="G13" s="229">
        <f>10^('Small Signal'!F13/30)</f>
        <v>2.3263050671536263</v>
      </c>
      <c r="H13" s="229" t="str">
        <f t="shared" si="1"/>
        <v>14.6166058179571i</v>
      </c>
      <c r="I13" s="229">
        <f>IF('Small Signal'!$B$37&gt;=1,Q13+0,N13+0)</f>
        <v>23.1379046303452</v>
      </c>
      <c r="J13" s="229">
        <f>IF('Small Signal'!$B$37&gt;=1,R13,O13)</f>
        <v>-0.029996199538279342</v>
      </c>
      <c r="K13" s="229">
        <f>IF('Small Signal'!$B$37&gt;=1,Z13+0,W13+0)</f>
        <v>67.04407052215504</v>
      </c>
      <c r="L13" s="229">
        <f>IF('Small Signal'!$B$37&gt;=1,AA13,X13)</f>
        <v>168.7262259264475</v>
      </c>
      <c r="M13" s="229" t="str">
        <f>IMDIV(IMSUM('Small Signal'!$B$2*'Small Signal'!$B$16*'Small Signal'!$B$38,IMPRODUCT(H13,'Small Signal'!$B$2*'Small Signal'!$B$16*'Small Signal'!$B$38*'Small Signal'!$B$13*'Small Signal'!$B$14)),IMSUM(IMPRODUCT('Small Signal'!$B$11*'Small Signal'!$B$13*('Small Signal'!$B$14+'Small Signal'!$B$16),IMPOWER(H13,2)),IMSUM(IMPRODUCT(H13,('Small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14.3514298334622-0.00751343983680625i</v>
      </c>
      <c r="N13" s="229">
        <f t="shared" si="2"/>
        <v>23.1379046303452</v>
      </c>
      <c r="O13" s="229">
        <f t="shared" si="3"/>
        <v>-0.029996199538279342</v>
      </c>
      <c r="P13" s="229" t="str">
        <f>IMDIV(IMSUM('Small Signal'!$B$48,IMPRODUCT(H13,'Small Signal'!$B$49)),IMSUM(IMPRODUCT('Small Signal'!$B$52,IMPOWER(H13,2)),IMSUM(IMPRODUCT(H13,'Small Signal'!$B$51),'Small Signal'!$B$50)))</f>
        <v>42.0787703654928-0.0241280635619859i</v>
      </c>
      <c r="Q13" s="229">
        <f t="shared" si="4"/>
        <v>32.48126223368098</v>
      </c>
      <c r="R13" s="229">
        <f t="shared" si="5"/>
        <v>-0.03285352795262295</v>
      </c>
      <c r="S13" s="229" t="str">
        <f>IMPRODUCT(IMDIV(IMSUM(IMPRODUCT(H13,'Small Signal'!$B$33*'Small Signal'!$B$6*'Small Signal'!$B$27*'Small Signal'!$B$7*'Small Signal'!$B$8),'Small Signal'!$B$33*'Small Signal'!$B$6*'Small Signal'!$B$27),IMSUM(IMSUM(IMPRODUCT(H13,('Small Signal'!$B$5+'Small Signal'!$B$6)*('Small Signal'!$B$32*'Small Signal'!$B$33)+'Small Signal'!$B$5*'Small Signal'!$B$33*('Small Signal'!$B$8+'Small Signal'!$B$9)+'Small Signal'!$B$6*'Small Signal'!$B$33*('Small Signal'!$B$8+'Small Signal'!$B$9)+'Small Signal'!$B$7*'Small Signal'!$B$8*('Small Signal'!$B$5+'Small Signal'!$B$6)),'Small Signal'!$B$6+'Small Signal'!$B$5),IMPRODUCT(IMPOWER(H13,2),'Small Signal'!$B$32*'Small Signal'!$B$33*'Small Signal'!$B$8*'Small Signal'!$B$7*('Small Signal'!$B$5+'Small Signal'!$B$6)+('Small Signal'!$B$5+'Small Signal'!$B$6)*('Small Signal'!$B$9*'Small Signal'!$B$8*'Small Signal'!$B$33*'Small Signal'!$B$7)))),-1)</f>
        <v>-153.777080892996+30.5708031771162i</v>
      </c>
      <c r="T13" s="229">
        <f t="shared" si="6"/>
        <v>43.906165891809835</v>
      </c>
      <c r="U13" s="229">
        <f t="shared" si="7"/>
        <v>168.7562221259858</v>
      </c>
      <c r="V13" s="229" t="str">
        <f t="shared" si="8"/>
        <v>-2206.69129454004+439.890131594536i</v>
      </c>
      <c r="W13" s="226">
        <f t="shared" si="9"/>
        <v>67.04407052215504</v>
      </c>
      <c r="X13" s="229">
        <f t="shared" si="10"/>
        <v>168.7262259264475</v>
      </c>
      <c r="Y13" s="229" t="str">
        <f t="shared" si="11"/>
        <v>-6470.01286008999+1290.09214996071i</v>
      </c>
      <c r="Z13" s="226">
        <f t="shared" si="12"/>
        <v>76.38742812549081</v>
      </c>
      <c r="AA13" s="229">
        <f t="shared" si="13"/>
        <v>168.7233685980332</v>
      </c>
    </row>
    <row r="14" spans="1:27" ht="12.75">
      <c r="A14" s="30" t="s">
        <v>99</v>
      </c>
      <c r="B14" s="176">
        <f t="shared" si="0"/>
        <v>0.005</v>
      </c>
      <c r="C14" s="92">
        <f>ESR</f>
        <v>0.005</v>
      </c>
      <c r="F14" s="78">
        <v>12</v>
      </c>
      <c r="G14" s="229">
        <f>10^('Small Signal'!F14/30)</f>
        <v>2.5118864315095806</v>
      </c>
      <c r="H14" s="229" t="str">
        <f t="shared" si="1"/>
        <v>15.7826479197648i</v>
      </c>
      <c r="I14" s="229">
        <f>IF('Small Signal'!$B$37&gt;=1,Q14+0,N14+0)</f>
        <v>23.137904441726704</v>
      </c>
      <c r="J14" s="229">
        <f>IF('Small Signal'!$B$37&gt;=1,R14,O14)</f>
        <v>-0.03238915076792971</v>
      </c>
      <c r="K14" s="229">
        <f>IF('Small Signal'!$B$37&gt;=1,Z14+0,W14+0)</f>
        <v>67.01658884390855</v>
      </c>
      <c r="L14" s="229">
        <f>IF('Small Signal'!$B$37&gt;=1,AA14,X14)</f>
        <v>167.85266665476772</v>
      </c>
      <c r="M14" s="229" t="str">
        <f>IMDIV(IMSUM('Small Signal'!$B$2*'Small Signal'!$B$16*'Small Signal'!$B$38,IMPRODUCT(H14,'Small Signal'!$B$2*'Small Signal'!$B$16*'Small Signal'!$B$38*'Small Signal'!$B$13*'Small Signal'!$B$14)),IMSUM(IMPRODUCT('Small Signal'!$B$11*'Small Signal'!$B$13*('Small Signal'!$B$14+'Small Signal'!$B$16),IMPOWER(H14,2)),IMSUM(IMPRODUCT(H14,('Small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14.3514291954991-0.00811282536711244i</v>
      </c>
      <c r="N14" s="229">
        <f t="shared" si="2"/>
        <v>23.137904441726704</v>
      </c>
      <c r="O14" s="229">
        <f t="shared" si="3"/>
        <v>-0.03238915076792971</v>
      </c>
      <c r="P14" s="229" t="str">
        <f>IMDIV(IMSUM('Small Signal'!$B$48,IMPRODUCT(H14,'Small Signal'!$B$49)),IMSUM(IMPRODUCT('Small Signal'!$B$52,IMPOWER(H14,2)),IMSUM(IMPRODUCT(H14,'Small Signal'!$B$51),'Small Signal'!$B$50)))</f>
        <v>42.0787684746794-0.0260528828300618i</v>
      </c>
      <c r="Q14" s="229">
        <f t="shared" si="4"/>
        <v>32.48126208029178</v>
      </c>
      <c r="R14" s="229">
        <f t="shared" si="5"/>
        <v>-0.035474423175413605</v>
      </c>
      <c r="S14" s="229" t="str">
        <f>IMPRODUCT(IMDIV(IMSUM(IMPRODUCT(H14,'Small Signal'!$B$33*'Small Signal'!$B$6*'Small Signal'!$B$27*'Small Signal'!$B$7*'Small Signal'!$B$8),'Small Signal'!$B$33*'Small Signal'!$B$6*'Small Signal'!$B$27),IMSUM(IMSUM(IMPRODUCT(H14,('Small Signal'!$B$5+'Small Signal'!$B$6)*('Small Signal'!$B$32*'Small Signal'!$B$33)+'Small Signal'!$B$5*'Small Signal'!$B$33*('Small Signal'!$B$8+'Small Signal'!$B$9)+'Small Signal'!$B$6*'Small Signal'!$B$33*('Small Signal'!$B$8+'Small Signal'!$B$9)+'Small Signal'!$B$7*'Small Signal'!$B$8*('Small Signal'!$B$5+'Small Signal'!$B$6)),'Small Signal'!$B$6+'Small Signal'!$B$5),IMPRODUCT(IMPOWER(H14,2),'Small Signal'!$B$32*'Small Signal'!$B$33*'Small Signal'!$B$8*'Small Signal'!$B$7*('Small Signal'!$B$5+'Small Signal'!$B$6)+('Small Signal'!$B$5+'Small Signal'!$B$6)*('Small Signal'!$B$9*'Small Signal'!$B$8*'Small Signal'!$B$33*'Small Signal'!$B$7)))),-1)</f>
        <v>-152.810257652656+32.8013715981152i</v>
      </c>
      <c r="T14" s="229">
        <f t="shared" si="6"/>
        <v>43.87868440218185</v>
      </c>
      <c r="U14" s="229">
        <f t="shared" si="7"/>
        <v>167.88505580553561</v>
      </c>
      <c r="V14" s="229" t="str">
        <f t="shared" si="8"/>
        <v>-2192.77948124849+471.986284940245i</v>
      </c>
      <c r="W14" s="226">
        <f t="shared" si="9"/>
        <v>67.01658884390855</v>
      </c>
      <c r="X14" s="229">
        <f t="shared" si="10"/>
        <v>167.85266665476772</v>
      </c>
      <c r="Y14" s="229" t="str">
        <f t="shared" si="11"/>
        <v>-6429.21288203131+1384.22246886687i</v>
      </c>
      <c r="Z14" s="226">
        <f t="shared" si="12"/>
        <v>76.35994648247363</v>
      </c>
      <c r="AA14" s="229">
        <f t="shared" si="13"/>
        <v>167.84958138236024</v>
      </c>
    </row>
    <row r="15" spans="6:27" ht="12.75">
      <c r="F15" s="78">
        <v>13</v>
      </c>
      <c r="G15" s="229">
        <f>10^('Small Signal'!F15/30)</f>
        <v>2.7122725793320286</v>
      </c>
      <c r="H15" s="229" t="str">
        <f t="shared" si="1"/>
        <v>17.0417112195251i</v>
      </c>
      <c r="I15" s="229">
        <f>IF('Small Signal'!$B$37&gt;=1,Q15+0,N15+0)</f>
        <v>23.137904221813685</v>
      </c>
      <c r="J15" s="229">
        <f>IF('Small Signal'!$B$37&gt;=1,R15,O15)</f>
        <v>-0.03497299995184974</v>
      </c>
      <c r="K15" s="229">
        <f>IF('Small Signal'!$B$37&gt;=1,Z15+0,W15+0)</f>
        <v>66.98476560337906</v>
      </c>
      <c r="L15" s="229">
        <f>IF('Small Signal'!$B$37&gt;=1,AA15,X15)</f>
        <v>166.91583554529515</v>
      </c>
      <c r="M15" s="229" t="str">
        <f>IMDIV(IMSUM('Small Signal'!$B$2*'Small Signal'!$B$16*'Small Signal'!$B$38,IMPRODUCT(H15,'Small Signal'!$B$2*'Small Signal'!$B$16*'Small Signal'!$B$38*'Small Signal'!$B$13*'Small Signal'!$B$14)),IMSUM(IMPRODUCT('Small Signal'!$B$11*'Small Signal'!$B$13*('Small Signal'!$B$14+'Small Signal'!$B$16),IMPOWER(H15,2)),IMSUM(IMPRODUCT(H15,('Small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14.3514284516888-0.00876002688417254i</v>
      </c>
      <c r="N15" s="229">
        <f t="shared" si="2"/>
        <v>23.137904221813685</v>
      </c>
      <c r="O15" s="229">
        <f t="shared" si="3"/>
        <v>-0.03497299995184974</v>
      </c>
      <c r="P15" s="229" t="str">
        <f>IMDIV(IMSUM('Small Signal'!$B$48,IMPRODUCT(H15,'Small Signal'!$B$49)),IMSUM(IMPRODUCT('Small Signal'!$B$52,IMPOWER(H15,2)),IMSUM(IMPRODUCT(H15,'Small Signal'!$B$51),'Small Signal'!$B$50)))</f>
        <v>42.0787662701525-0.0281312546296861i</v>
      </c>
      <c r="Q15" s="229">
        <f t="shared" si="4"/>
        <v>32.481261901453</v>
      </c>
      <c r="R15" s="229">
        <f t="shared" si="5"/>
        <v>-0.038304400661677444</v>
      </c>
      <c r="S15" s="229" t="str">
        <f>IMPRODUCT(IMDIV(IMSUM(IMPRODUCT(H15,'Small Signal'!$B$33*'Small Signal'!$B$6*'Small Signal'!$B$27*'Small Signal'!$B$7*'Small Signal'!$B$8),'Small Signal'!$B$33*'Small Signal'!$B$6*'Small Signal'!$B$27),IMSUM(IMSUM(IMPRODUCT(H15,('Small Signal'!$B$5+'Small Signal'!$B$6)*('Small Signal'!$B$32*'Small Signal'!$B$33)+'Small Signal'!$B$5*'Small Signal'!$B$33*('Small Signal'!$B$8+'Small Signal'!$B$9)+'Small Signal'!$B$6*'Small Signal'!$B$33*('Small Signal'!$B$8+'Small Signal'!$B$9)+'Small Signal'!$B$7*'Small Signal'!$B$8*('Small Signal'!$B$5+'Small Signal'!$B$6)),'Small Signal'!$B$6+'Small Signal'!$B$5),IMPRODUCT(IMPOWER(H15,2),'Small Signal'!$B$32*'Small Signal'!$B$33*'Small Signal'!$B$8*'Small Signal'!$B$7*('Small Signal'!$B$5+'Small Signal'!$B$6)+('Small Signal'!$B$5+'Small Signal'!$B$6)*('Small Signal'!$B$9*'Small Signal'!$B$8*'Small Signal'!$B$33*'Small Signal'!$B$7)))),-1)</f>
        <v>-151.698312839943+35.159525193501i</v>
      </c>
      <c r="T15" s="229">
        <f t="shared" si="6"/>
        <v>43.846861381565354</v>
      </c>
      <c r="U15" s="229">
        <f t="shared" si="7"/>
        <v>166.95080854524699</v>
      </c>
      <c r="V15" s="229" t="str">
        <f t="shared" si="8"/>
        <v>-2176.77948457842+505.918291508641i</v>
      </c>
      <c r="W15" s="226">
        <f t="shared" si="9"/>
        <v>66.98476560337906</v>
      </c>
      <c r="X15" s="229">
        <f t="shared" si="10"/>
        <v>166.91583554529515</v>
      </c>
      <c r="Y15" s="229" t="str">
        <f t="shared" si="11"/>
        <v>-6382.28876801256+1483.73690665226i</v>
      </c>
      <c r="Z15" s="226">
        <f t="shared" si="12"/>
        <v>76.32812328301836</v>
      </c>
      <c r="AA15" s="229">
        <f t="shared" si="13"/>
        <v>166.9125041445853</v>
      </c>
    </row>
    <row r="16" spans="1:27" ht="12.75">
      <c r="A16" s="59" t="s">
        <v>46</v>
      </c>
      <c r="B16" s="60">
        <f>B3/B4</f>
        <v>1.4285714285714286</v>
      </c>
      <c r="F16" s="78">
        <v>14</v>
      </c>
      <c r="G16" s="229">
        <f>10^('Small Signal'!F16/30)</f>
        <v>2.9286445646252366</v>
      </c>
      <c r="H16" s="229" t="str">
        <f t="shared" si="1"/>
        <v>18.4012164984046i</v>
      </c>
      <c r="I16" s="229">
        <f>IF('Small Signal'!$B$37&gt;=1,Q16+0,N16+0)</f>
        <v>23.137903965413912</v>
      </c>
      <c r="J16" s="229">
        <f>IF('Small Signal'!$B$37&gt;=1,R16,O16)</f>
        <v>-0.03776297597464208</v>
      </c>
      <c r="K16" s="229">
        <f>IF('Small Signal'!$B$37&gt;=1,Z16+0,W16+0)</f>
        <v>66.94795448646482</v>
      </c>
      <c r="L16" s="229">
        <f>IF('Small Signal'!$B$37&gt;=1,AA16,X16)</f>
        <v>165.91222824898918</v>
      </c>
      <c r="M16" s="229" t="str">
        <f>IMDIV(IMSUM('Small Signal'!$B$2*'Small Signal'!$B$16*'Small Signal'!$B$38,IMPRODUCT(H16,'Small Signal'!$B$2*'Small Signal'!$B$16*'Small Signal'!$B$38*'Small Signal'!$B$13*'Small Signal'!$B$14)),IMSUM(IMPRODUCT('Small Signal'!$B$11*'Small Signal'!$B$13*('Small Signal'!$B$14+'Small Signal'!$B$16),IMPOWER(H16,2)),IMSUM(IMPRODUCT(H16,('Small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14.3514275844697-0.00945885889247171i</v>
      </c>
      <c r="N16" s="229">
        <f t="shared" si="2"/>
        <v>23.137903965413912</v>
      </c>
      <c r="O16" s="229">
        <f t="shared" si="3"/>
        <v>-0.03776297597464208</v>
      </c>
      <c r="P16" s="229" t="str">
        <f>IMDIV(IMSUM('Small Signal'!$B$48,IMPRODUCT(H16,'Small Signal'!$B$49)),IMSUM(IMPRODUCT('Small Signal'!$B$52,IMPOWER(H16,2)),IMSUM(IMPRODUCT(H16,'Small Signal'!$B$51),'Small Signal'!$B$50)))</f>
        <v>42.0787636998637-0.0303754285773626i</v>
      </c>
      <c r="Q16" s="229">
        <f t="shared" si="4"/>
        <v>32.48126169294244</v>
      </c>
      <c r="R16" s="229">
        <f t="shared" si="5"/>
        <v>-0.04136013996263217</v>
      </c>
      <c r="S16" s="229" t="str">
        <f>IMPRODUCT(IMDIV(IMSUM(IMPRODUCT(H16,'Small Signal'!$B$33*'Small Signal'!$B$6*'Small Signal'!$B$27*'Small Signal'!$B$7*'Small Signal'!$B$8),'Small Signal'!$B$33*'Small Signal'!$B$6*'Small Signal'!$B$27),IMSUM(IMSUM(IMPRODUCT(H16,('Small Signal'!$B$5+'Small Signal'!$B$6)*('Small Signal'!$B$32*'Small Signal'!$B$33)+'Small Signal'!$B$5*'Small Signal'!$B$33*('Small Signal'!$B$8+'Small Signal'!$B$9)+'Small Signal'!$B$6*'Small Signal'!$B$33*('Small Signal'!$B$8+'Small Signal'!$B$9)+'Small Signal'!$B$7*'Small Signal'!$B$8*('Small Signal'!$B$5+'Small Signal'!$B$6)),'Small Signal'!$B$6+'Small Signal'!$B$5),IMPRODUCT(IMPOWER(H16,2),'Small Signal'!$B$32*'Small Signal'!$B$33*'Small Signal'!$B$8*'Small Signal'!$B$7*('Small Signal'!$B$5+'Small Signal'!$B$6)+('Small Signal'!$B$5+'Small Signal'!$B$6)*('Small Signal'!$B$9*'Small Signal'!$B$8*'Small Signal'!$B$33*'Small Signal'!$B$7)))),-1)</f>
        <v>-150.422207760629+37.6439518552383i</v>
      </c>
      <c r="T16" s="229">
        <f t="shared" si="6"/>
        <v>43.81005052105091</v>
      </c>
      <c r="U16" s="229">
        <f t="shared" si="7"/>
        <v>165.9499912249638</v>
      </c>
      <c r="V16" s="229" t="str">
        <f t="shared" si="8"/>
        <v>-2158.41735294397+541.667271481218i</v>
      </c>
      <c r="W16" s="226">
        <f t="shared" si="9"/>
        <v>66.94795448646482</v>
      </c>
      <c r="X16" s="229">
        <f t="shared" si="10"/>
        <v>165.91222824898918</v>
      </c>
      <c r="Y16" s="229" t="str">
        <f t="shared" si="11"/>
        <v>-6328.43708440036+1588.5800938739i</v>
      </c>
      <c r="Z16" s="226">
        <f t="shared" si="12"/>
        <v>76.29131221399335</v>
      </c>
      <c r="AA16" s="229">
        <f t="shared" si="13"/>
        <v>165.9086310850012</v>
      </c>
    </row>
    <row r="17" spans="1:27" ht="12.75">
      <c r="A17" s="59" t="s">
        <v>49</v>
      </c>
      <c r="B17" s="72">
        <f>B13</f>
        <v>2.9166666666666666E-05</v>
      </c>
      <c r="F17" s="78">
        <v>15</v>
      </c>
      <c r="G17" s="229">
        <f>10^('Small Signal'!F17/30)</f>
        <v>3.1622776601683795</v>
      </c>
      <c r="H17" s="229" t="str">
        <f t="shared" si="1"/>
        <v>19.8691765315922i</v>
      </c>
      <c r="I17" s="229">
        <f>IF('Small Signal'!$B$37&gt;=1,Q17+0,N17+0)</f>
        <v>23.13790366647375</v>
      </c>
      <c r="J17" s="229">
        <f>IF('Small Signal'!$B$37&gt;=1,R17,O17)</f>
        <v>-0.04077552259970497</v>
      </c>
      <c r="K17" s="229">
        <f>IF('Small Signal'!$B$37&gt;=1,Z17+0,W17+0)</f>
        <v>66.90542616683251</v>
      </c>
      <c r="L17" s="229">
        <f>IF('Small Signal'!$B$37&gt;=1,AA17,X17)</f>
        <v>164.83840922217237</v>
      </c>
      <c r="M17" s="229" t="str">
        <f>IMDIV(IMSUM('Small Signal'!$B$2*'Small Signal'!$B$16*'Small Signal'!$B$38,IMPRODUCT(H17,'Small Signal'!$B$2*'Small Signal'!$B$16*'Small Signal'!$B$38*'Small Signal'!$B$13*'Small Signal'!$B$14)),IMSUM(IMPRODUCT('Small Signal'!$B$11*'Small Signal'!$B$13*('Small Signal'!$B$14+'Small Signal'!$B$16),IMPOWER(H17,2)),IMSUM(IMPRODUCT(H17,('Small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14.3514265733666-0.0102134401930939i</v>
      </c>
      <c r="N17" s="229">
        <f t="shared" si="2"/>
        <v>23.13790366647375</v>
      </c>
      <c r="O17" s="229">
        <f t="shared" si="3"/>
        <v>-0.04077552259970497</v>
      </c>
      <c r="P17" s="229" t="str">
        <f>IMDIV(IMSUM('Small Signal'!$B$48,IMPRODUCT(H17,'Small Signal'!$B$49)),IMSUM(IMPRODUCT('Small Signal'!$B$52,IMPOWER(H17,2)),IMSUM(IMPRODUCT(H17,'Small Signal'!$B$51),'Small Signal'!$B$50)))</f>
        <v>42.0787607031268-0.0327986314887807i</v>
      </c>
      <c r="Q17" s="229">
        <f t="shared" si="4"/>
        <v>32.481261449836886</v>
      </c>
      <c r="R17" s="229">
        <f t="shared" si="5"/>
        <v>-0.044659651238145956</v>
      </c>
      <c r="S17" s="229" t="str">
        <f>IMPRODUCT(IMDIV(IMSUM(IMPRODUCT(H17,'Small Signal'!$B$33*'Small Signal'!$B$6*'Small Signal'!$B$27*'Small Signal'!$B$7*'Small Signal'!$B$8),'Small Signal'!$B$33*'Small Signal'!$B$6*'Small Signal'!$B$27),IMSUM(IMSUM(IMPRODUCT(H17,('Small Signal'!$B$5+'Small Signal'!$B$6)*('Small Signal'!$B$32*'Small Signal'!$B$33)+'Small Signal'!$B$5*'Small Signal'!$B$33*('Small Signal'!$B$8+'Small Signal'!$B$9)+'Small Signal'!$B$6*'Small Signal'!$B$33*('Small Signal'!$B$8+'Small Signal'!$B$9)+'Small Signal'!$B$7*'Small Signal'!$B$8*('Small Signal'!$B$5+'Small Signal'!$B$6)),'Small Signal'!$B$6+'Small Signal'!$B$5),IMPRODUCT(IMPOWER(H17,2),'Small Signal'!$B$32*'Small Signal'!$B$33*'Small Signal'!$B$8*'Small Signal'!$B$7*('Small Signal'!$B$5+'Small Signal'!$B$6)+('Small Signal'!$B$5+'Small Signal'!$B$6)*('Small Signal'!$B$9*'Small Signal'!$B$8*'Small Signal'!$B$33*'Small Signal'!$B$7)))),-1)</f>
        <v>-148.961312335439+40.2509091683486i</v>
      </c>
      <c r="T17" s="229">
        <f t="shared" si="6"/>
        <v>43.76752250035877</v>
      </c>
      <c r="U17" s="229">
        <f t="shared" si="7"/>
        <v>164.8791847447721</v>
      </c>
      <c r="V17" s="229" t="str">
        <f t="shared" si="8"/>
        <v>-2137.39623600087+579.179374895426i</v>
      </c>
      <c r="W17" s="226">
        <f t="shared" si="9"/>
        <v>66.90542616683251</v>
      </c>
      <c r="X17" s="229">
        <f t="shared" si="10"/>
        <v>164.83840922217237</v>
      </c>
      <c r="Y17" s="229" t="str">
        <f t="shared" si="11"/>
        <v>-6266.78724104977+1698.59410216761i</v>
      </c>
      <c r="Z17" s="226">
        <f t="shared" si="12"/>
        <v>76.24878395019566</v>
      </c>
      <c r="AA17" s="229">
        <f t="shared" si="13"/>
        <v>164.83452509353393</v>
      </c>
    </row>
    <row r="18" spans="1:27" ht="12.75">
      <c r="A18" s="59" t="s">
        <v>50</v>
      </c>
      <c r="B18" s="222">
        <f>B14</f>
        <v>0.005</v>
      </c>
      <c r="F18" s="78">
        <v>16</v>
      </c>
      <c r="G18" s="229">
        <f>10^('Small Signal'!F18/30)</f>
        <v>3.4145488738336023</v>
      </c>
      <c r="H18" s="229" t="str">
        <f t="shared" si="1"/>
        <v>21.4542433147179i</v>
      </c>
      <c r="I18" s="229">
        <f>IF('Small Signal'!$B$37&gt;=1,Q18+0,N18+0)</f>
        <v>23.13790331793519</v>
      </c>
      <c r="J18" s="229">
        <f>IF('Small Signal'!$B$37&gt;=1,R18,O18)</f>
        <v>-0.04402839538432749</v>
      </c>
      <c r="K18" s="229">
        <f>IF('Small Signal'!$B$37&gt;=1,Z18+0,W18+0)</f>
        <v>66.8563619745546</v>
      </c>
      <c r="L18" s="229">
        <f>IF('Small Signal'!$B$37&gt;=1,AA18,X18)</f>
        <v>163.69108614425642</v>
      </c>
      <c r="M18" s="229" t="str">
        <f>IMDIV(IMSUM('Small Signal'!$B$2*'Small Signal'!$B$16*'Small Signal'!$B$38,IMPRODUCT(H18,'Small Signal'!$B$2*'Small Signal'!$B$16*'Small Signal'!$B$38*'Small Signal'!$B$13*'Small Signal'!$B$14)),IMSUM(IMPRODUCT('Small Signal'!$B$11*'Small Signal'!$B$13*('Small Signal'!$B$14+'Small Signal'!$B$16),IMPOWER(H18,2)),IMSUM(IMPRODUCT(H18,('Small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14.3514253945072-0.0110282181574487i</v>
      </c>
      <c r="N18" s="229">
        <f t="shared" si="2"/>
        <v>23.13790331793519</v>
      </c>
      <c r="O18" s="229">
        <f t="shared" si="3"/>
        <v>-0.04402839538432749</v>
      </c>
      <c r="P18" s="229" t="str">
        <f>IMDIV(IMSUM('Small Signal'!$B$48,IMPRODUCT(H18,'Small Signal'!$B$49)),IMSUM(IMPRODUCT('Small Signal'!$B$52,IMPOWER(H18,2)),IMSUM(IMPRODUCT(H18,'Small Signal'!$B$51),'Small Signal'!$B$50)))</f>
        <v>42.0787572091886-0.0354151453309115i</v>
      </c>
      <c r="Q18" s="229">
        <f t="shared" si="4"/>
        <v>32.48126116639666</v>
      </c>
      <c r="R18" s="229">
        <f t="shared" si="5"/>
        <v>-0.04822238140490034</v>
      </c>
      <c r="S18" s="229" t="str">
        <f>IMPRODUCT(IMDIV(IMSUM(IMPRODUCT(H18,'Small Signal'!$B$33*'Small Signal'!$B$6*'Small Signal'!$B$27*'Small Signal'!$B$7*'Small Signal'!$B$8),'Small Signal'!$B$33*'Small Signal'!$B$6*'Small Signal'!$B$27),IMSUM(IMSUM(IMPRODUCT(H18,('Small Signal'!$B$5+'Small Signal'!$B$6)*('Small Signal'!$B$32*'Small Signal'!$B$33)+'Small Signal'!$B$5*'Small Signal'!$B$33*('Small Signal'!$B$8+'Small Signal'!$B$9)+'Small Signal'!$B$6*'Small Signal'!$B$33*('Small Signal'!$B$8+'Small Signal'!$B$9)+'Small Signal'!$B$7*'Small Signal'!$B$8*('Small Signal'!$B$5+'Small Signal'!$B$6)),'Small Signal'!$B$6+'Small Signal'!$B$5),IMPRODUCT(IMPOWER(H18,2),'Small Signal'!$B$32*'Small Signal'!$B$33*'Small Signal'!$B$8*'Small Signal'!$B$7*('Small Signal'!$B$5+'Small Signal'!$B$6)+('Small Signal'!$B$5+'Small Signal'!$B$6)*('Small Signal'!$B$9*'Small Signal'!$B$8*'Small Signal'!$B$33*'Small Signal'!$B$7)))),-1)</f>
        <v>-147.293579390093+42.9736843611562i</v>
      </c>
      <c r="T18" s="229">
        <f t="shared" si="6"/>
        <v>43.7184586566194</v>
      </c>
      <c r="U18" s="229">
        <f t="shared" si="7"/>
        <v>163.73511453964073</v>
      </c>
      <c r="V18" s="229" t="str">
        <f t="shared" si="8"/>
        <v>-2113.39889254068+618.358010762939i</v>
      </c>
      <c r="W18" s="226">
        <f t="shared" si="9"/>
        <v>66.8563619745546</v>
      </c>
      <c r="X18" s="229">
        <f t="shared" si="10"/>
        <v>163.69108614425642</v>
      </c>
      <c r="Y18" s="229" t="str">
        <f t="shared" si="11"/>
        <v>-6196.40884635101+1813.49565413781i</v>
      </c>
      <c r="Z18" s="226">
        <f t="shared" si="12"/>
        <v>76.19971982301605</v>
      </c>
      <c r="AA18" s="229">
        <f t="shared" si="13"/>
        <v>163.6868921582358</v>
      </c>
    </row>
    <row r="19" spans="1:27" ht="12.75">
      <c r="A19" s="59" t="s">
        <v>51</v>
      </c>
      <c r="B19" s="72">
        <f>B11</f>
        <v>7.275132275132274E-06</v>
      </c>
      <c r="F19" s="78">
        <v>17</v>
      </c>
      <c r="G19" s="229">
        <f>10^('Small Signal'!F19/30)</f>
        <v>3.6869450645195756</v>
      </c>
      <c r="H19" s="229" t="str">
        <f t="shared" si="1"/>
        <v>23.1657590577677i</v>
      </c>
      <c r="I19" s="229">
        <f>IF('Small Signal'!$B$37&gt;=1,Q19+0,N19+0)</f>
        <v>23.137902911569043</v>
      </c>
      <c r="J19" s="229">
        <f>IF('Small Signal'!$B$37&gt;=1,R19,O19)</f>
        <v>-0.047540766325671516</v>
      </c>
      <c r="K19" s="229">
        <f>IF('Small Signal'!$B$37&gt;=1,Z19+0,W19+0)</f>
        <v>66.79984854775795</v>
      </c>
      <c r="L19" s="229">
        <f>IF('Small Signal'!$B$37&gt;=1,AA19,X19)</f>
        <v>162.4671998593148</v>
      </c>
      <c r="M19" s="229" t="str">
        <f>IMDIV(IMSUM('Small Signal'!$B$2*'Small Signal'!$B$16*'Small Signal'!$B$38,IMPRODUCT(H19,'Small Signal'!$B$2*'Small Signal'!$B$16*'Small Signal'!$B$38*'Small Signal'!$B$13*'Small Signal'!$B$14)),IMSUM(IMPRODUCT('Small Signal'!$B$11*'Small Signal'!$B$13*('Small Signal'!$B$14+'Small Signal'!$B$16),IMPOWER(H19,2)),IMSUM(IMPRODUCT(H19,('Small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14.3514240200582-0.011907994937029i</v>
      </c>
      <c r="N19" s="229">
        <f t="shared" si="2"/>
        <v>23.137902911569043</v>
      </c>
      <c r="O19" s="229">
        <f t="shared" si="3"/>
        <v>-0.047540766325671516</v>
      </c>
      <c r="P19" s="229" t="str">
        <f>IMDIV(IMSUM('Small Signal'!$B$48,IMPRODUCT(H19,'Small Signal'!$B$49)),IMSUM(IMPRODUCT('Small Signal'!$B$52,IMPOWER(H19,2)),IMSUM(IMPRODUCT(H19,'Small Signal'!$B$51),'Small Signal'!$B$50)))</f>
        <v>42.0787531355565-0.0382403913916695i</v>
      </c>
      <c r="Q19" s="229">
        <f t="shared" si="4"/>
        <v>32.48126083592968</v>
      </c>
      <c r="R19" s="229">
        <f t="shared" si="5"/>
        <v>-0.05206932875218508</v>
      </c>
      <c r="S19" s="229" t="str">
        <f>IMPRODUCT(IMDIV(IMSUM(IMPRODUCT(H19,'Small Signal'!$B$33*'Small Signal'!$B$6*'Small Signal'!$B$27*'Small Signal'!$B$7*'Small Signal'!$B$8),'Small Signal'!$B$33*'Small Signal'!$B$6*'Small Signal'!$B$27),IMSUM(IMSUM(IMPRODUCT(H19,('Small Signal'!$B$5+'Small Signal'!$B$6)*('Small Signal'!$B$32*'Small Signal'!$B$33)+'Small Signal'!$B$5*'Small Signal'!$B$33*('Small Signal'!$B$8+'Small Signal'!$B$9)+'Small Signal'!$B$6*'Small Signal'!$B$33*('Small Signal'!$B$8+'Small Signal'!$B$9)+'Small Signal'!$B$7*'Small Signal'!$B$8*('Small Signal'!$B$5+'Small Signal'!$B$6)),'Small Signal'!$B$6+'Small Signal'!$B$5),IMPRODUCT(IMPOWER(H19,2),'Small Signal'!$B$32*'Small Signal'!$B$33*'Small Signal'!$B$8*'Small Signal'!$B$7*('Small Signal'!$B$5+'Small Signal'!$B$6)+('Small Signal'!$B$5+'Small Signal'!$B$6)*('Small Signal'!$B$9*'Small Signal'!$B$8*'Small Signal'!$B$33*'Small Signal'!$B$7)))),-1)</f>
        <v>-145.395845250635+45.8020122156149i</v>
      </c>
      <c r="T19" s="229">
        <f t="shared" si="6"/>
        <v>43.661945636188904</v>
      </c>
      <c r="U19" s="229">
        <f t="shared" si="7"/>
        <v>162.51474062564043</v>
      </c>
      <c r="V19" s="229" t="str">
        <f t="shared" si="8"/>
        <v>-2086.09201581706+659.055471267284i</v>
      </c>
      <c r="W19" s="226">
        <f t="shared" si="9"/>
        <v>66.79984854775795</v>
      </c>
      <c r="X19" s="229">
        <f t="shared" si="10"/>
        <v>162.4671998593148</v>
      </c>
      <c r="Y19" s="229" t="str">
        <f t="shared" si="11"/>
        <v>-6116.32439236339+1932.85155916171i</v>
      </c>
      <c r="Z19" s="226">
        <f t="shared" si="12"/>
        <v>76.14320647211858</v>
      </c>
      <c r="AA19" s="229">
        <f t="shared" si="13"/>
        <v>162.46267129688823</v>
      </c>
    </row>
    <row r="20" spans="1:27" ht="12.75">
      <c r="A20" s="59" t="s">
        <v>24</v>
      </c>
      <c r="B20" s="73">
        <f>B12</f>
        <v>0.026000000000000002</v>
      </c>
      <c r="F20" s="78">
        <v>18</v>
      </c>
      <c r="G20" s="229">
        <f>10^('Small Signal'!F20/30)</f>
        <v>3.9810717055349727</v>
      </c>
      <c r="H20" s="229" t="str">
        <f t="shared" si="1"/>
        <v>25.0138112470457i</v>
      </c>
      <c r="I20" s="229">
        <f>IF('Small Signal'!$B$37&gt;=1,Q20+0,N20+0)</f>
        <v>23.137902437780987</v>
      </c>
      <c r="J20" s="229">
        <f>IF('Small Signal'!$B$37&gt;=1,R20,O20)</f>
        <v>-0.051333336854229736</v>
      </c>
      <c r="K20" s="229">
        <f>IF('Small Signal'!$B$37&gt;=1,Z20+0,W20+0)</f>
        <v>66.73487405802895</v>
      </c>
      <c r="L20" s="229">
        <f>IF('Small Signal'!$B$37&gt;=1,AA20,X20)</f>
        <v>161.1640307121086</v>
      </c>
      <c r="M20" s="229" t="str">
        <f>IMDIV(IMSUM('Small Signal'!$B$2*'Small Signal'!$B$16*'Small Signal'!$B$38,IMPRODUCT(H20,'Small Signal'!$B$2*'Small Signal'!$B$16*'Small Signal'!$B$38*'Small Signal'!$B$13*'Small Signal'!$B$14)),IMSUM(IMPRODUCT('Small Signal'!$B$11*'Small Signal'!$B$13*('Small Signal'!$B$14+'Small Signal'!$B$16),IMPOWER(H20,2)),IMSUM(IMPRODUCT(H20,('Small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14.3514224175687-0.0128579557635399i</v>
      </c>
      <c r="N20" s="229">
        <f t="shared" si="2"/>
        <v>23.137902437780987</v>
      </c>
      <c r="O20" s="229">
        <f t="shared" si="3"/>
        <v>-0.051333336854229736</v>
      </c>
      <c r="P20" s="229" t="str">
        <f>IMDIV(IMSUM('Small Signal'!$B$48,IMPRODUCT(H20,'Small Signal'!$B$49)),IMSUM(IMPRODUCT('Small Signal'!$B$52,IMPOWER(H20,2)),IMSUM(IMPRODUCT(H20,'Small Signal'!$B$51),'Small Signal'!$B$50)))</f>
        <v>42.0787483860506-0.0412910211628766i</v>
      </c>
      <c r="Q20" s="229">
        <f t="shared" si="4"/>
        <v>32.481260450633435</v>
      </c>
      <c r="R20" s="229">
        <f t="shared" si="5"/>
        <v>-0.05622316670074296</v>
      </c>
      <c r="S20" s="229" t="str">
        <f>IMPRODUCT(IMDIV(IMSUM(IMPRODUCT(H20,'Small Signal'!$B$33*'Small Signal'!$B$6*'Small Signal'!$B$27*'Small Signal'!$B$7*'Small Signal'!$B$8),'Small Signal'!$B$33*'Small Signal'!$B$6*'Small Signal'!$B$27),IMSUM(IMSUM(IMPRODUCT(H20,('Small Signal'!$B$5+'Small Signal'!$B$6)*('Small Signal'!$B$32*'Small Signal'!$B$33)+'Small Signal'!$B$5*'Small Signal'!$B$33*('Small Signal'!$B$8+'Small Signal'!$B$9)+'Small Signal'!$B$6*'Small Signal'!$B$33*('Small Signal'!$B$8+'Small Signal'!$B$9)+'Small Signal'!$B$7*'Small Signal'!$B$8*('Small Signal'!$B$5+'Small Signal'!$B$6)),'Small Signal'!$B$6+'Small Signal'!$B$5),IMPRODUCT(IMPOWER(H20,2),'Small Signal'!$B$32*'Small Signal'!$B$33*'Small Signal'!$B$8*'Small Signal'!$B$7*('Small Signal'!$B$5+'Small Signal'!$B$6)+('Small Signal'!$B$5+'Small Signal'!$B$6)*('Small Signal'!$B$9*'Small Signal'!$B$8*'Small Signal'!$B$33*'Small Signal'!$B$7)))),-1)</f>
        <v>-143.244286566903+48.7214737863993i</v>
      </c>
      <c r="T20" s="229">
        <f t="shared" si="6"/>
        <v>43.59697162024795</v>
      </c>
      <c r="U20" s="229">
        <f t="shared" si="7"/>
        <v>161.2153640489628</v>
      </c>
      <c r="V20" s="229" t="str">
        <f t="shared" si="8"/>
        <v>-2055.13280687021+701.064279815174i</v>
      </c>
      <c r="W20" s="226">
        <f t="shared" si="9"/>
        <v>66.73487405802895</v>
      </c>
      <c r="X20" s="229">
        <f t="shared" si="10"/>
        <v>161.1640307121086</v>
      </c>
      <c r="Y20" s="229" t="str">
        <f t="shared" si="11"/>
        <v>-6025.52853278284+2056.05333932355i</v>
      </c>
      <c r="Z20" s="226">
        <f t="shared" si="12"/>
        <v>76.0782320708814</v>
      </c>
      <c r="AA20" s="229">
        <f t="shared" si="13"/>
        <v>161.15914088226208</v>
      </c>
    </row>
    <row r="21" spans="1:27" ht="12.75">
      <c r="A21" s="59" t="s">
        <v>52</v>
      </c>
      <c r="B21" s="63">
        <f>B2</f>
        <v>12</v>
      </c>
      <c r="F21" s="78">
        <v>19</v>
      </c>
      <c r="G21" s="229">
        <f>10^('Small Signal'!F21/30)</f>
        <v>4.298662347082277</v>
      </c>
      <c r="H21" s="229" t="str">
        <f t="shared" si="1"/>
        <v>27.0092920997135i</v>
      </c>
      <c r="I21" s="229">
        <f>IF('Small Signal'!$B$37&gt;=1,Q21+0,N21+0)</f>
        <v>23.137901885384696</v>
      </c>
      <c r="J21" s="229">
        <f>IF('Small Signal'!$B$37&gt;=1,R21,O21)</f>
        <v>-0.05542845984051523</v>
      </c>
      <c r="K21" s="229">
        <f>IF('Small Signal'!$B$37&gt;=1,Z21+0,W21+0)</f>
        <v>66.6603267244964</v>
      </c>
      <c r="L21" s="229">
        <f>IF('Small Signal'!$B$37&gt;=1,AA21,X21)</f>
        <v>159.77932135334132</v>
      </c>
      <c r="M21" s="229" t="str">
        <f>IMDIV(IMSUM('Small Signal'!$B$2*'Small Signal'!$B$16*'Small Signal'!$B$38,IMPRODUCT(H21,'Small Signal'!$B$2*'Small Signal'!$B$16*'Small Signal'!$B$38*'Small Signal'!$B$13*'Small Signal'!$B$14)),IMSUM(IMPRODUCT('Small Signal'!$B$11*'Small Signal'!$B$13*('Small Signal'!$B$14+'Small Signal'!$B$16),IMPOWER(H21,2)),IMSUM(IMPRODUCT(H21,('Small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14.3514205492035-0.0138836995060254i</v>
      </c>
      <c r="N21" s="229">
        <f t="shared" si="2"/>
        <v>23.137901885384696</v>
      </c>
      <c r="O21" s="229">
        <f t="shared" si="3"/>
        <v>-0.05542845984051523</v>
      </c>
      <c r="P21" s="229" t="str">
        <f>IMDIV(IMSUM('Small Signal'!$B$48,IMPRODUCT(H21,'Small Signal'!$B$49)),IMSUM(IMPRODUCT('Small Signal'!$B$52,IMPOWER(H21,2)),IMSUM(IMPRODUCT(H21,'Small Signal'!$B$51),'Small Signal'!$B$50)))</f>
        <v>42.0787428485346-0.0445850144717374i</v>
      </c>
      <c r="Q21" s="229">
        <f t="shared" si="4"/>
        <v>32.4812600014111</v>
      </c>
      <c r="R21" s="229">
        <f t="shared" si="5"/>
        <v>-0.060708377433940294</v>
      </c>
      <c r="S21" s="229" t="str">
        <f>IMPRODUCT(IMDIV(IMSUM(IMPRODUCT(H21,'Small Signal'!$B$33*'Small Signal'!$B$6*'Small Signal'!$B$27*'Small Signal'!$B$7*'Small Signal'!$B$8),'Small Signal'!$B$33*'Small Signal'!$B$6*'Small Signal'!$B$27),IMSUM(IMSUM(IMPRODUCT(H21,('Small Signal'!$B$5+'Small Signal'!$B$6)*('Small Signal'!$B$32*'Small Signal'!$B$33)+'Small Signal'!$B$5*'Small Signal'!$B$33*('Small Signal'!$B$8+'Small Signal'!$B$9)+'Small Signal'!$B$6*'Small Signal'!$B$33*('Small Signal'!$B$8+'Small Signal'!$B$9)+'Small Signal'!$B$7*'Small Signal'!$B$8*('Small Signal'!$B$5+'Small Signal'!$B$6)),'Small Signal'!$B$6+'Small Signal'!$B$5),IMPRODUCT(IMPOWER(H21,2),'Small Signal'!$B$32*'Small Signal'!$B$33*'Small Signal'!$B$8*'Small Signal'!$B$7*('Small Signal'!$B$5+'Small Signal'!$B$6)+('Small Signal'!$B$5+'Small Signal'!$B$6)*('Small Signal'!$B$9*'Small Signal'!$B$8*'Small Signal'!$B$33*'Small Signal'!$B$7)))),-1)</f>
        <v>-140.815062234591+51.7129111575294i</v>
      </c>
      <c r="T21" s="229">
        <f t="shared" si="6"/>
        <v>43.522424839111686</v>
      </c>
      <c r="U21" s="229">
        <f t="shared" si="7"/>
        <v>159.83474981318182</v>
      </c>
      <c r="V21" s="229" t="str">
        <f t="shared" si="8"/>
        <v>-2020.17821127179+744.10876985529i</v>
      </c>
      <c r="W21" s="226">
        <f t="shared" si="9"/>
        <v>66.6603267244964</v>
      </c>
      <c r="X21" s="229">
        <f t="shared" si="10"/>
        <v>159.77932135334132</v>
      </c>
      <c r="Y21" s="229" t="str">
        <f t="shared" si="11"/>
        <v>-5923.01517207742+2182.29253213436i</v>
      </c>
      <c r="Z21" s="226">
        <f t="shared" si="12"/>
        <v>76.0036848405228</v>
      </c>
      <c r="AA21" s="229">
        <f t="shared" si="13"/>
        <v>159.7740414357479</v>
      </c>
    </row>
    <row r="22" spans="1:27" ht="12.75">
      <c r="A22" s="59" t="s">
        <v>53</v>
      </c>
      <c r="B22" s="63">
        <f>B3</f>
        <v>5</v>
      </c>
      <c r="F22" s="78">
        <v>20</v>
      </c>
      <c r="G22" s="229">
        <f>10^('Small Signal'!F22/30)</f>
        <v>4.641588833612779</v>
      </c>
      <c r="H22" s="229" t="str">
        <f t="shared" si="1"/>
        <v>29.1639627613246i</v>
      </c>
      <c r="I22" s="229">
        <f>IF('Small Signal'!$B$37&gt;=1,Q22+0,N22+0)</f>
        <v>23.137901241337996</v>
      </c>
      <c r="J22" s="229">
        <f>IF('Small Signal'!$B$37&gt;=1,R22,O22)</f>
        <v>-0.05985027133378714</v>
      </c>
      <c r="K22" s="229">
        <f>IF('Small Signal'!$B$37&gt;=1,Z22+0,W22+0)</f>
        <v>66.57499644295976</v>
      </c>
      <c r="L22" s="229">
        <f>IF('Small Signal'!$B$37&gt;=1,AA22,X22)</f>
        <v>158.31141492167458</v>
      </c>
      <c r="M22" s="229" t="str">
        <f>IMDIV(IMSUM('Small Signal'!$B$2*'Small Signal'!$B$16*'Small Signal'!$B$38,IMPRODUCT(H22,'Small Signal'!$B$2*'Small Signal'!$B$16*'Small Signal'!$B$38*'Small Signal'!$B$13*'Small Signal'!$B$14)),IMSUM(IMPRODUCT('Small Signal'!$B$11*'Small Signal'!$B$13*('Small Signal'!$B$14+'Small Signal'!$B$16),IMPOWER(H22,2)),IMSUM(IMPRODUCT(H22,('Small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14.3514183708502-0.0149912716648764i</v>
      </c>
      <c r="N22" s="229">
        <f t="shared" si="2"/>
        <v>23.137901241337996</v>
      </c>
      <c r="O22" s="229">
        <f t="shared" si="3"/>
        <v>-0.05985027133378714</v>
      </c>
      <c r="P22" s="229" t="str">
        <f>IMDIV(IMSUM('Small Signal'!$B$48,IMPRODUCT(H22,'Small Signal'!$B$49)),IMSUM(IMPRODUCT('Small Signal'!$B$52,IMPOWER(H22,2)),IMSUM(IMPRODUCT(H22,'Small Signal'!$B$51),'Small Signal'!$B$50)))</f>
        <v>42.0787363922662-0.0481417854386282i</v>
      </c>
      <c r="Q22" s="229">
        <f t="shared" si="4"/>
        <v>32.481259477656344</v>
      </c>
      <c r="R22" s="229">
        <f t="shared" si="5"/>
        <v>-0.06555139618867956</v>
      </c>
      <c r="S22" s="229" t="str">
        <f>IMPRODUCT(IMDIV(IMSUM(IMPRODUCT(H22,'Small Signal'!$B$33*'Small Signal'!$B$6*'Small Signal'!$B$27*'Small Signal'!$B$7*'Small Signal'!$B$8),'Small Signal'!$B$33*'Small Signal'!$B$6*'Small Signal'!$B$27),IMSUM(IMSUM(IMPRODUCT(H22,('Small Signal'!$B$5+'Small Signal'!$B$6)*('Small Signal'!$B$32*'Small Signal'!$B$33)+'Small Signal'!$B$5*'Small Signal'!$B$33*('Small Signal'!$B$8+'Small Signal'!$B$9)+'Small Signal'!$B$6*'Small Signal'!$B$33*('Small Signal'!$B$8+'Small Signal'!$B$9)+'Small Signal'!$B$7*'Small Signal'!$B$8*('Small Signal'!$B$5+'Small Signal'!$B$6)),'Small Signal'!$B$6+'Small Signal'!$B$5),IMPRODUCT(IMPOWER(H22,2),'Small Signal'!$B$32*'Small Signal'!$B$33*'Small Signal'!$B$8*'Small Signal'!$B$7*('Small Signal'!$B$5+'Small Signal'!$B$6)+('Small Signal'!$B$5+'Small Signal'!$B$6)*('Small Signal'!$B$9*'Small Signal'!$B$8*'Small Signal'!$B$33*'Small Signal'!$B$7)))),-1)</f>
        <v>-138.08516398254+54.7519078749019i</v>
      </c>
      <c r="T22" s="229">
        <f t="shared" si="6"/>
        <v>43.43709520162179</v>
      </c>
      <c r="U22" s="229">
        <f t="shared" si="7"/>
        <v>158.37126519300844</v>
      </c>
      <c r="V22" s="229" t="str">
        <f t="shared" si="8"/>
        <v>-1980.89715839576+787.837608721116i</v>
      </c>
      <c r="W22" s="226">
        <f t="shared" si="9"/>
        <v>66.57499644295976</v>
      </c>
      <c r="X22" s="229">
        <f t="shared" si="10"/>
        <v>158.31141492167458</v>
      </c>
      <c r="Y22" s="229" t="str">
        <f t="shared" si="11"/>
        <v>-5807.81336030288+2310.53876477835i</v>
      </c>
      <c r="Z22" s="226">
        <f t="shared" si="12"/>
        <v>75.91835467927812</v>
      </c>
      <c r="AA22" s="229">
        <f t="shared" si="13"/>
        <v>158.3057137968197</v>
      </c>
    </row>
    <row r="23" spans="1:27" ht="12.75">
      <c r="A23" s="59" t="s">
        <v>57</v>
      </c>
      <c r="B23" s="63">
        <f>B10</f>
        <v>600000</v>
      </c>
      <c r="F23" s="78">
        <v>21</v>
      </c>
      <c r="G23" s="229">
        <f>10^('Small Signal'!F23/30)</f>
        <v>5.011872336272723</v>
      </c>
      <c r="H23" s="229" t="str">
        <f t="shared" si="1"/>
        <v>31.4905226247286i</v>
      </c>
      <c r="I23" s="229">
        <f>IF('Small Signal'!$B$37&gt;=1,Q23+0,N23+0)</f>
        <v>23.137900490434834</v>
      </c>
      <c r="J23" s="229">
        <f>IF('Small Signal'!$B$37&gt;=1,R23,O23)</f>
        <v>-0.06462483280892117</v>
      </c>
      <c r="K23" s="229">
        <f>IF('Small Signal'!$B$37&gt;=1,Z23+0,W23+0)</f>
        <v>66.47758043393597</v>
      </c>
      <c r="L23" s="229">
        <f>IF('Small Signal'!$B$37&gt;=1,AA23,X23)</f>
        <v>156.75940592991475</v>
      </c>
      <c r="M23" s="229" t="str">
        <f>IMDIV(IMSUM('Small Signal'!$B$2*'Small Signal'!$B$16*'Small Signal'!$B$38,IMPRODUCT(H23,'Small Signal'!$B$2*'Small Signal'!$B$16*'Small Signal'!$B$38*'Small Signal'!$B$13*'Small Signal'!$B$14)),IMSUM(IMPRODUCT('Small Signal'!$B$11*'Small Signal'!$B$13*('Small Signal'!$B$14+'Small Signal'!$B$16),IMPOWER(H23,2)),IMSUM(IMPRODUCT(H23,('Small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14.3514158310776-0.0161871999969119i</v>
      </c>
      <c r="N23" s="229">
        <f t="shared" si="2"/>
        <v>23.137900490434834</v>
      </c>
      <c r="O23" s="229">
        <f t="shared" si="3"/>
        <v>-0.06462483280892117</v>
      </c>
      <c r="P23" s="229" t="str">
        <f>IMDIV(IMSUM('Small Signal'!$B$48,IMPRODUCT(H23,'Small Signal'!$B$49)),IMSUM(IMPRODUCT('Small Signal'!$B$52,IMPOWER(H23,2)),IMSUM(IMPRODUCT(H23,'Small Signal'!$B$51),'Small Signal'!$B$50)))</f>
        <v>42.0787288648114-0.0519822968850058i</v>
      </c>
      <c r="Q23" s="229">
        <f t="shared" si="4"/>
        <v>32.48125886700312</v>
      </c>
      <c r="R23" s="229">
        <f t="shared" si="5"/>
        <v>-0.07078076705626381</v>
      </c>
      <c r="S23" s="229" t="str">
        <f>IMPRODUCT(IMDIV(IMSUM(IMPRODUCT(H23,'Small Signal'!$B$33*'Small Signal'!$B$6*'Small Signal'!$B$27*'Small Signal'!$B$7*'Small Signal'!$B$8),'Small Signal'!$B$33*'Small Signal'!$B$6*'Small Signal'!$B$27),IMSUM(IMSUM(IMPRODUCT(H23,('Small Signal'!$B$5+'Small Signal'!$B$6)*('Small Signal'!$B$32*'Small Signal'!$B$33)+'Small Signal'!$B$5*'Small Signal'!$B$33*('Small Signal'!$B$8+'Small Signal'!$B$9)+'Small Signal'!$B$6*'Small Signal'!$B$33*('Small Signal'!$B$8+'Small Signal'!$B$9)+'Small Signal'!$B$7*'Small Signal'!$B$8*('Small Signal'!$B$5+'Small Signal'!$B$6)),'Small Signal'!$B$6+'Small Signal'!$B$5),IMPRODUCT(IMPOWER(H23,2),'Small Signal'!$B$32*'Small Signal'!$B$33*'Small Signal'!$B$8*'Small Signal'!$B$7*('Small Signal'!$B$5+'Small Signal'!$B$6)+('Small Signal'!$B$5+'Small Signal'!$B$6)*('Small Signal'!$B$9*'Small Signal'!$B$8*'Small Signal'!$B$33*'Small Signal'!$B$7)))),-1)</f>
        <v>-135.033488000641+57.8083999342334i</v>
      </c>
      <c r="T23" s="229">
        <f t="shared" si="6"/>
        <v>43.33967994350114</v>
      </c>
      <c r="U23" s="229">
        <f t="shared" si="7"/>
        <v>156.82403076272368</v>
      </c>
      <c r="V23" s="229" t="str">
        <f t="shared" si="8"/>
        <v>-1936.98598128679+831.818200061969i</v>
      </c>
      <c r="W23" s="226">
        <f t="shared" si="9"/>
        <v>66.47758043393597</v>
      </c>
      <c r="X23" s="229">
        <f t="shared" si="10"/>
        <v>156.75940592991475</v>
      </c>
      <c r="Y23" s="229" t="str">
        <f t="shared" si="11"/>
        <v>-5679.03251584091+2439.52333780386i</v>
      </c>
      <c r="Z23" s="226">
        <f t="shared" si="12"/>
        <v>75.82093881050427</v>
      </c>
      <c r="AA23" s="229">
        <f t="shared" si="13"/>
        <v>156.75324999566737</v>
      </c>
    </row>
    <row r="24" spans="1:27" ht="12.75">
      <c r="A24" s="59" t="s">
        <v>94</v>
      </c>
      <c r="B24" s="60">
        <f>'Design Equations CCM'!B14</f>
        <v>3.5</v>
      </c>
      <c r="F24" s="78">
        <v>22</v>
      </c>
      <c r="G24" s="229">
        <f>10^('Small Signal'!F24/30)</f>
        <v>5.411695265464637</v>
      </c>
      <c r="H24" s="229" t="str">
        <f t="shared" si="1"/>
        <v>34.0026841789007i</v>
      </c>
      <c r="I24" s="229">
        <f>IF('Small Signal'!$B$37&gt;=1,Q24+0,N24+0)</f>
        <v>23.137899614946154</v>
      </c>
      <c r="J24" s="229">
        <f>IF('Small Signal'!$B$37&gt;=1,R24,O24)</f>
        <v>-0.06978028475935769</v>
      </c>
      <c r="K24" s="229">
        <f>IF('Small Signal'!$B$37&gt;=1,Z24+0,W24+0)</f>
        <v>66.36669382924697</v>
      </c>
      <c r="L24" s="229">
        <f>IF('Small Signal'!$B$37&gt;=1,AA24,X24)</f>
        <v>155.1232991942455</v>
      </c>
      <c r="M24" s="229" t="str">
        <f>IMDIV(IMSUM('Small Signal'!$B$2*'Small Signal'!$B$16*'Small Signal'!$B$38,IMPRODUCT(H24,'Small Signal'!$B$2*'Small Signal'!$B$16*'Small Signal'!$B$38*'Small Signal'!$B$13*'Small Signal'!$B$14)),IMSUM(IMPRODUCT('Small Signal'!$B$11*'Small Signal'!$B$13*('Small Signal'!$B$14+'Small Signal'!$B$16),IMPOWER(H24,2)),IMSUM(IMPRODUCT(H24,('Small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14.3514128699212-0.0174785329811588i</v>
      </c>
      <c r="N24" s="229">
        <f t="shared" si="2"/>
        <v>23.137899614946154</v>
      </c>
      <c r="O24" s="229">
        <f t="shared" si="3"/>
        <v>-0.06978028475935769</v>
      </c>
      <c r="P24" s="229" t="str">
        <f>IMDIV(IMSUM('Small Signal'!$B$48,IMPRODUCT(H24,'Small Signal'!$B$49)),IMSUM(IMPRODUCT('Small Signal'!$B$52,IMPOWER(H24,2)),IMSUM(IMPRODUCT(H24,'Small Signal'!$B$51),'Small Signal'!$B$50)))</f>
        <v>42.0787200884462-0.056129183864838i</v>
      </c>
      <c r="Q24" s="229">
        <f t="shared" si="4"/>
        <v>32.48125815503387</v>
      </c>
      <c r="R24" s="229">
        <f t="shared" si="5"/>
        <v>-0.07642731121117993</v>
      </c>
      <c r="S24" s="229" t="str">
        <f>IMPRODUCT(IMDIV(IMSUM(IMPRODUCT(H24,'Small Signal'!$B$33*'Small Signal'!$B$6*'Small Signal'!$B$27*'Small Signal'!$B$7*'Small Signal'!$B$8),'Small Signal'!$B$33*'Small Signal'!$B$6*'Small Signal'!$B$27),IMSUM(IMSUM(IMPRODUCT(H24,('Small Signal'!$B$5+'Small Signal'!$B$6)*('Small Signal'!$B$32*'Small Signal'!$B$33)+'Small Signal'!$B$5*'Small Signal'!$B$33*('Small Signal'!$B$8+'Small Signal'!$B$9)+'Small Signal'!$B$6*'Small Signal'!$B$33*('Small Signal'!$B$8+'Small Signal'!$B$9)+'Small Signal'!$B$7*'Small Signal'!$B$8*('Small Signal'!$B$5+'Small Signal'!$B$6)),'Small Signal'!$B$6+'Small Signal'!$B$5),IMPRODUCT(IMPOWER(H24,2),'Small Signal'!$B$32*'Small Signal'!$B$33*'Small Signal'!$B$8*'Small Signal'!$B$7*('Small Signal'!$B$5+'Small Signal'!$B$6)+('Small Signal'!$B$5+'Small Signal'!$B$6)*('Small Signal'!$B$9*'Small Signal'!$B$8*'Small Signal'!$B$33*'Small Signal'!$B$7)))),-1)</f>
        <v>-131.642121441735+60.8464961147275i</v>
      </c>
      <c r="T24" s="229">
        <f t="shared" si="6"/>
        <v>43.228794214300805</v>
      </c>
      <c r="U24" s="229">
        <f t="shared" si="7"/>
        <v>155.19307947900484</v>
      </c>
      <c r="V24" s="229" t="str">
        <f t="shared" si="8"/>
        <v>-1888.18692839352+875.53409859184i</v>
      </c>
      <c r="W24" s="226">
        <f t="shared" si="9"/>
        <v>66.36669382924697</v>
      </c>
      <c r="X24" s="229">
        <f t="shared" si="10"/>
        <v>155.1232991942455</v>
      </c>
      <c r="Y24" s="229" t="str">
        <f t="shared" si="11"/>
        <v>-5535.91671582805+2567.73164321311i</v>
      </c>
      <c r="Z24" s="226">
        <f t="shared" si="12"/>
        <v>75.71005236933468</v>
      </c>
      <c r="AA24" s="229">
        <f t="shared" si="13"/>
        <v>155.11665216779363</v>
      </c>
    </row>
    <row r="25" spans="1:27" ht="12.75">
      <c r="A25" s="59" t="s">
        <v>93</v>
      </c>
      <c r="B25" s="63">
        <f>'Design Equations CCM'!B15</f>
        <v>0.1</v>
      </c>
      <c r="F25" s="78">
        <v>23</v>
      </c>
      <c r="G25" s="229">
        <f>10^('Small Signal'!F25/30)</f>
        <v>5.843414133735178</v>
      </c>
      <c r="H25" s="229" t="str">
        <f t="shared" si="1"/>
        <v>36.7152538288504i</v>
      </c>
      <c r="I25" s="229">
        <f>IF('Small Signal'!$B$37&gt;=1,Q25+0,N25+0)</f>
        <v>23.137898594201502</v>
      </c>
      <c r="J25" s="229">
        <f>IF('Small Signal'!$B$37&gt;=1,R25,O25)</f>
        <v>-0.07534701254083609</v>
      </c>
      <c r="K25" s="229">
        <f>IF('Small Signal'!$B$37&gt;=1,Z25+0,W25+0)</f>
        <v>66.24088603803372</v>
      </c>
      <c r="L25" s="229">
        <f>IF('Small Signal'!$B$37&gt;=1,AA25,X25)</f>
        <v>153.40416982748116</v>
      </c>
      <c r="M25" s="229" t="str">
        <f>IMDIV(IMSUM('Small Signal'!$B$2*'Small Signal'!$B$16*'Small Signal'!$B$38,IMPRODUCT(H25,'Small Signal'!$B$2*'Small Signal'!$B$16*'Small Signal'!$B$38*'Small Signal'!$B$13*'Small Signal'!$B$14)),IMSUM(IMPRODUCT('Small Signal'!$B$11*'Small Signal'!$B$13*('Small Signal'!$B$14+'Small Signal'!$B$16),IMPOWER(H25,2)),IMSUM(IMPRODUCT(H25,('Small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14.3514094174678-0.0188728813516151i</v>
      </c>
      <c r="N25" s="229">
        <f t="shared" si="2"/>
        <v>23.137898594201502</v>
      </c>
      <c r="O25" s="229">
        <f t="shared" si="3"/>
        <v>-0.07534701254083609</v>
      </c>
      <c r="P25" s="229" t="str">
        <f>IMDIV(IMSUM('Small Signal'!$B$48,IMPRODUCT(H25,'Small Signal'!$B$49)),IMSUM(IMPRODUCT('Small Signal'!$B$52,IMPOWER(H25,2)),IMSUM(IMPRODUCT(H25,'Small Signal'!$B$51),'Small Signal'!$B$50)))</f>
        <v>42.0787098559592-0.0606068870465156i</v>
      </c>
      <c r="Q25" s="229">
        <f t="shared" si="4"/>
        <v>32.48125732493884</v>
      </c>
      <c r="R25" s="229">
        <f t="shared" si="5"/>
        <v>-0.08252430855896224</v>
      </c>
      <c r="S25" s="229" t="str">
        <f>IMPRODUCT(IMDIV(IMSUM(IMPRODUCT(H25,'Small Signal'!$B$33*'Small Signal'!$B$6*'Small Signal'!$B$27*'Small Signal'!$B$7*'Small Signal'!$B$8),'Small Signal'!$B$33*'Small Signal'!$B$6*'Small Signal'!$B$27),IMSUM(IMSUM(IMPRODUCT(H25,('Small Signal'!$B$5+'Small Signal'!$B$6)*('Small Signal'!$B$32*'Small Signal'!$B$33)+'Small Signal'!$B$5*'Small Signal'!$B$33*('Small Signal'!$B$8+'Small Signal'!$B$9)+'Small Signal'!$B$6*'Small Signal'!$B$33*('Small Signal'!$B$8+'Small Signal'!$B$9)+'Small Signal'!$B$7*'Small Signal'!$B$8*('Small Signal'!$B$5+'Small Signal'!$B$6)),'Small Signal'!$B$6+'Small Signal'!$B$5),IMPRODUCT(IMPOWER(H25,2),'Small Signal'!$B$32*'Small Signal'!$B$33*'Small Signal'!$B$8*'Small Signal'!$B$7*('Small Signal'!$B$5+'Small Signal'!$B$6)+('Small Signal'!$B$5+'Small Signal'!$B$6)*('Small Signal'!$B$9*'Small Signal'!$B$8*'Small Signal'!$B$33*'Small Signal'!$B$7)))),-1)</f>
        <v>-127.897810958391+63.8245957802796i</v>
      </c>
      <c r="T25" s="229">
        <f t="shared" si="6"/>
        <v>43.102987443832234</v>
      </c>
      <c r="U25" s="229">
        <f t="shared" si="7"/>
        <v>153.479516840022</v>
      </c>
      <c r="V25" s="229" t="str">
        <f t="shared" si="8"/>
        <v>-1834.30929463829+918.386705158529i</v>
      </c>
      <c r="W25" s="226">
        <f t="shared" si="9"/>
        <v>66.24088603803372</v>
      </c>
      <c r="X25" s="229">
        <f t="shared" si="10"/>
        <v>153.40416982748116</v>
      </c>
      <c r="Y25" s="229" t="str">
        <f t="shared" si="11"/>
        <v>-5377.90666846321+2693.40813569451i</v>
      </c>
      <c r="Z25" s="226">
        <f t="shared" si="12"/>
        <v>75.58424476877106</v>
      </c>
      <c r="AA25" s="229">
        <f t="shared" si="13"/>
        <v>153.3969925314631</v>
      </c>
    </row>
    <row r="26" spans="6:27" ht="12.75">
      <c r="F26" s="78">
        <v>24</v>
      </c>
      <c r="G26" s="229">
        <f>10^('Small Signal'!F26/30)</f>
        <v>6.309573444801934</v>
      </c>
      <c r="H26" s="229" t="str">
        <f t="shared" si="1"/>
        <v>39.64421916295i</v>
      </c>
      <c r="I26" s="229">
        <f>IF('Small Signal'!$B$37&gt;=1,Q26+0,N26+0)</f>
        <v>23.137897404100908</v>
      </c>
      <c r="J26" s="229">
        <f>IF('Small Signal'!$B$37&gt;=1,R26,O26)</f>
        <v>-0.08135782544266748</v>
      </c>
      <c r="K26" s="229">
        <f>IF('Small Signal'!$B$37&gt;=1,Z26+0,W26+0)</f>
        <v>66.09866352646401</v>
      </c>
      <c r="L26" s="229">
        <f>IF('Small Signal'!$B$37&gt;=1,AA26,X26)</f>
        <v>151.604314852627</v>
      </c>
      <c r="M26" s="229" t="str">
        <f>IMDIV(IMSUM('Small Signal'!$B$2*'Small Signal'!$B$16*'Small Signal'!$B$38,IMPRODUCT(H26,'Small Signal'!$B$2*'Small Signal'!$B$16*'Small Signal'!$B$38*'Small Signal'!$B$13*'Small Signal'!$B$14)),IMSUM(IMPRODUCT('Small Signal'!$B$11*'Small Signal'!$B$13*('Small Signal'!$B$14+'Small Signal'!$B$16),IMPOWER(H26,2)),IMSUM(IMPRODUCT(H26,('Small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14.3514053922047-0.0203784629412398i</v>
      </c>
      <c r="N26" s="229">
        <f t="shared" si="2"/>
        <v>23.137897404100908</v>
      </c>
      <c r="O26" s="229">
        <f t="shared" si="3"/>
        <v>-0.08135782544266748</v>
      </c>
      <c r="P26" s="229" t="str">
        <f>IMDIV(IMSUM('Small Signal'!$B$48,IMPRODUCT(H26,'Small Signal'!$B$49)),IMSUM(IMPRODUCT('Small Signal'!$B$52,IMPOWER(H26,2)),IMSUM(IMPRODUCT(H26,'Small Signal'!$B$51),'Small Signal'!$B$50)))</f>
        <v>42.0786979257598-0.0654417967299674i</v>
      </c>
      <c r="Q26" s="229">
        <f t="shared" si="4"/>
        <v>32.481256357119236</v>
      </c>
      <c r="R26" s="229">
        <f t="shared" si="5"/>
        <v>-0.08910769387327694</v>
      </c>
      <c r="S26" s="229" t="str">
        <f>IMPRODUCT(IMDIV(IMSUM(IMPRODUCT(H26,'Small Signal'!$B$33*'Small Signal'!$B$6*'Small Signal'!$B$27*'Small Signal'!$B$7*'Small Signal'!$B$8),'Small Signal'!$B$33*'Small Signal'!$B$6*'Small Signal'!$B$27),IMSUM(IMSUM(IMPRODUCT(H26,('Small Signal'!$B$5+'Small Signal'!$B$6)*('Small Signal'!$B$32*'Small Signal'!$B$33)+'Small Signal'!$B$5*'Small Signal'!$B$33*('Small Signal'!$B$8+'Small Signal'!$B$9)+'Small Signal'!$B$6*'Small Signal'!$B$33*('Small Signal'!$B$8+'Small Signal'!$B$9)+'Small Signal'!$B$7*'Small Signal'!$B$8*('Small Signal'!$B$5+'Small Signal'!$B$6)),'Small Signal'!$B$6+'Small Signal'!$B$5),IMPRODUCT(IMPOWER(H26,2),'Small Signal'!$B$32*'Small Signal'!$B$33*'Small Signal'!$B$8*'Small Signal'!$B$7*('Small Signal'!$B$5+'Small Signal'!$B$6)+('Small Signal'!$B$5+'Small Signal'!$B$6)*('Small Signal'!$B$9*'Small Signal'!$B$8*'Small Signal'!$B$33*'Small Signal'!$B$7)))),-1)</f>
        <v>-123.79354622487+66.6958928173233i</v>
      </c>
      <c r="T26" s="229">
        <f t="shared" si="6"/>
        <v>42.9607661223631</v>
      </c>
      <c r="U26" s="229">
        <f t="shared" si="7"/>
        <v>151.68567267806966</v>
      </c>
      <c r="V26" s="229" t="str">
        <f t="shared" si="8"/>
        <v>-1775.25220703163+959.702518010548i</v>
      </c>
      <c r="W26" s="226">
        <f t="shared" si="9"/>
        <v>66.09866352646401</v>
      </c>
      <c r="X26" s="229">
        <f t="shared" si="10"/>
        <v>151.604314852627</v>
      </c>
      <c r="Y26" s="229" t="str">
        <f t="shared" si="11"/>
        <v>-5204.70653769441+2814.57759883753i</v>
      </c>
      <c r="Z26" s="226">
        <f t="shared" si="12"/>
        <v>75.44202247948233</v>
      </c>
      <c r="AA26" s="229">
        <f t="shared" si="13"/>
        <v>151.59656498419636</v>
      </c>
    </row>
    <row r="27" spans="1:27" ht="12.75">
      <c r="A27" s="32" t="s">
        <v>0</v>
      </c>
      <c r="B27" s="16">
        <f>gmea</f>
        <v>0.00035</v>
      </c>
      <c r="F27" s="78">
        <v>25</v>
      </c>
      <c r="G27" s="229">
        <f>10^('Small Signal'!F27/30)</f>
        <v>6.812920690579614</v>
      </c>
      <c r="H27" s="229" t="str">
        <f t="shared" si="1"/>
        <v>42.8068431820296i</v>
      </c>
      <c r="I27" s="229">
        <f>IF('Small Signal'!$B$37&gt;=1,Q27+0,N27+0)</f>
        <v>23.137896016545984</v>
      </c>
      <c r="J27" s="229">
        <f>IF('Small Signal'!$B$37&gt;=1,R27,O27)</f>
        <v>-0.08784815004108695</v>
      </c>
      <c r="K27" s="229">
        <f>IF('Small Signal'!$B$37&gt;=1,Z27+0,W27+0)</f>
        <v>65.93851928420352</v>
      </c>
      <c r="L27" s="229">
        <f>IF('Small Signal'!$B$37&gt;=1,AA27,X27)</f>
        <v>149.7273846876833</v>
      </c>
      <c r="M27" s="229" t="str">
        <f>IMDIV(IMSUM('Small Signal'!$B$2*'Small Signal'!$B$16*'Small Signal'!$B$38,IMPRODUCT(H27,'Small Signal'!$B$2*'Small Signal'!$B$16*'Small Signal'!$B$38*'Small Signal'!$B$13*'Small Signal'!$B$14)),IMSUM(IMPRODUCT('Small Signal'!$B$11*'Small Signal'!$B$13*('Small Signal'!$B$14+'Small Signal'!$B$16),IMPOWER(H27,2)),IMSUM(IMPRODUCT(H27,('Small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14.3514006990954-0.0220041511007931i</v>
      </c>
      <c r="N27" s="229">
        <f t="shared" si="2"/>
        <v>23.137896016545984</v>
      </c>
      <c r="O27" s="229">
        <f t="shared" si="3"/>
        <v>-0.08784815004108695</v>
      </c>
      <c r="P27" s="229" t="str">
        <f>IMDIV(IMSUM('Small Signal'!$B$48,IMPRODUCT(H27,'Small Signal'!$B$49)),IMSUM(IMPRODUCT('Small Signal'!$B$52,IMPOWER(H27,2)),IMSUM(IMPRODUCT(H27,'Small Signal'!$B$51),'Small Signal'!$B$50)))</f>
        <v>42.0786840161748-0.0706624083460168i</v>
      </c>
      <c r="Q27" s="229">
        <f t="shared" si="4"/>
        <v>32.48125522872464</v>
      </c>
      <c r="R27" s="229">
        <f t="shared" si="5"/>
        <v>-0.09621626857765492</v>
      </c>
      <c r="S27" s="229" t="str">
        <f>IMPRODUCT(IMDIV(IMSUM(IMPRODUCT(H27,'Small Signal'!$B$33*'Small Signal'!$B$6*'Small Signal'!$B$27*'Small Signal'!$B$7*'Small Signal'!$B$8),'Small Signal'!$B$33*'Small Signal'!$B$6*'Small Signal'!$B$27),IMSUM(IMSUM(IMPRODUCT(H27,('Small Signal'!$B$5+'Small Signal'!$B$6)*('Small Signal'!$B$32*'Small Signal'!$B$33)+'Small Signal'!$B$5*'Small Signal'!$B$33*('Small Signal'!$B$8+'Small Signal'!$B$9)+'Small Signal'!$B$6*'Small Signal'!$B$33*('Small Signal'!$B$8+'Small Signal'!$B$9)+'Small Signal'!$B$7*'Small Signal'!$B$8*('Small Signal'!$B$5+'Small Signal'!$B$6)),'Small Signal'!$B$6+'Small Signal'!$B$5),IMPRODUCT(IMPOWER(H27,2),'Small Signal'!$B$32*'Small Signal'!$B$33*'Small Signal'!$B$8*'Small Signal'!$B$7*('Small Signal'!$B$5+'Small Signal'!$B$6)+('Small Signal'!$B$5+'Small Signal'!$B$6)*('Small Signal'!$B$9*'Small Signal'!$B$8*'Small Signal'!$B$33*'Small Signal'!$B$7)))),-1)</f>
        <v>-119.330152359303+69.4093415294094i</v>
      </c>
      <c r="T27" s="229">
        <f t="shared" si="6"/>
        <v>42.80062326765755</v>
      </c>
      <c r="U27" s="229">
        <f t="shared" si="7"/>
        <v>149.81523283772438</v>
      </c>
      <c r="V27" s="229" t="str">
        <f t="shared" si="8"/>
        <v>-1711.02753835364+998.747031252312i</v>
      </c>
      <c r="W27" s="226">
        <f t="shared" si="9"/>
        <v>65.93851928420352</v>
      </c>
      <c r="X27" s="229">
        <f t="shared" si="10"/>
        <v>149.7273846876833</v>
      </c>
      <c r="Y27" s="229" t="str">
        <f t="shared" si="11"/>
        <v>-5016.35114349493+2929.08590594078i</v>
      </c>
      <c r="Z27" s="226">
        <f t="shared" si="12"/>
        <v>75.28187849638219</v>
      </c>
      <c r="AA27" s="229">
        <f t="shared" si="13"/>
        <v>149.7190165691468</v>
      </c>
    </row>
    <row r="28" spans="1:27" ht="12.75">
      <c r="A28" s="32" t="s">
        <v>60</v>
      </c>
      <c r="B28" s="17">
        <v>1000</v>
      </c>
      <c r="F28" s="78">
        <v>26</v>
      </c>
      <c r="G28" s="229">
        <f>10^('Small Signal'!F28/30)</f>
        <v>7.356422544596415</v>
      </c>
      <c r="H28" s="229" t="str">
        <f t="shared" si="1"/>
        <v>46.2217660456129i</v>
      </c>
      <c r="I28" s="229">
        <f>IF('Small Signal'!$B$37&gt;=1,Q28+0,N28+0)</f>
        <v>23.13789439877617</v>
      </c>
      <c r="J28" s="229">
        <f>IF('Small Signal'!$B$37&gt;=1,R28,O28)</f>
        <v>-0.09485623897317137</v>
      </c>
      <c r="K28" s="229">
        <f>IF('Small Signal'!$B$37&gt;=1,Z28+0,W28+0)</f>
        <v>65.75896872503569</v>
      </c>
      <c r="L28" s="229">
        <f>IF('Small Signal'!$B$37&gt;=1,AA28,X28)</f>
        <v>147.77848103379048</v>
      </c>
      <c r="M28" s="229" t="str">
        <f>IMDIV(IMSUM('Small Signal'!$B$2*'Small Signal'!$B$16*'Small Signal'!$B$38,IMPRODUCT(H28,'Small Signal'!$B$2*'Small Signal'!$B$16*'Small Signal'!$B$38*'Small Signal'!$B$13*'Small Signal'!$B$14)),IMSUM(IMPRODUCT('Small Signal'!$B$11*'Small Signal'!$B$13*('Small Signal'!$B$14+'Small Signal'!$B$16),IMPOWER(H28,2)),IMSUM(IMPRODUCT(H28,('Small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14.3513952273353-0.02375952697704i</v>
      </c>
      <c r="N28" s="229">
        <f t="shared" si="2"/>
        <v>23.13789439877617</v>
      </c>
      <c r="O28" s="229">
        <f t="shared" si="3"/>
        <v>-0.09485623897317137</v>
      </c>
      <c r="P28" s="229" t="str">
        <f>IMDIV(IMSUM('Small Signal'!$B$48,IMPRODUCT(H28,'Small Signal'!$B$49)),IMSUM(IMPRODUCT('Small Signal'!$B$52,IMPOWER(H28,2)),IMSUM(IMPRODUCT(H28,'Small Signal'!$B$51),'Small Signal'!$B$50)))</f>
        <v>42.0786677987977-0.0762994903522204i</v>
      </c>
      <c r="Q28" s="229">
        <f t="shared" si="4"/>
        <v>32.48125391311341</v>
      </c>
      <c r="R28" s="229">
        <f t="shared" si="5"/>
        <v>-0.10389192941934146</v>
      </c>
      <c r="S28" s="229" t="str">
        <f>IMPRODUCT(IMDIV(IMSUM(IMPRODUCT(H28,'Small Signal'!$B$33*'Small Signal'!$B$6*'Small Signal'!$B$27*'Small Signal'!$B$7*'Small Signal'!$B$8),'Small Signal'!$B$33*'Small Signal'!$B$6*'Small Signal'!$B$27),IMSUM(IMSUM(IMPRODUCT(H28,('Small Signal'!$B$5+'Small Signal'!$B$6)*('Small Signal'!$B$32*'Small Signal'!$B$33)+'Small Signal'!$B$5*'Small Signal'!$B$33*('Small Signal'!$B$8+'Small Signal'!$B$9)+'Small Signal'!$B$6*'Small Signal'!$B$33*('Small Signal'!$B$8+'Small Signal'!$B$9)+'Small Signal'!$B$7*'Small Signal'!$B$8*('Small Signal'!$B$5+'Small Signal'!$B$6)),'Small Signal'!$B$6+'Small Signal'!$B$5),IMPRODUCT(IMPOWER(H28,2),'Small Signal'!$B$32*'Small Signal'!$B$33*'Small Signal'!$B$8*'Small Signal'!$B$7*('Small Signal'!$B$5+'Small Signal'!$B$6)+('Small Signal'!$B$5+'Small Signal'!$B$6)*('Small Signal'!$B$9*'Small Signal'!$B$8*'Small Signal'!$B$33*'Small Signal'!$B$7)))),-1)</f>
        <v>-114.517746690535+71.9111301242631i</v>
      </c>
      <c r="T28" s="229">
        <f t="shared" si="6"/>
        <v>42.621074326259524</v>
      </c>
      <c r="U28" s="229">
        <f t="shared" si="7"/>
        <v>147.87333727276362</v>
      </c>
      <c r="V28" s="229" t="str">
        <f t="shared" si="8"/>
        <v>-1641.7808688636+1034.74593714948i</v>
      </c>
      <c r="W28" s="226">
        <f t="shared" si="9"/>
        <v>65.75896872503569</v>
      </c>
      <c r="X28" s="229">
        <f t="shared" si="10"/>
        <v>147.77848103379048</v>
      </c>
      <c r="Y28" s="229" t="str">
        <f t="shared" si="11"/>
        <v>-4813.26743747875+3034.66220124375i</v>
      </c>
      <c r="Z28" s="226">
        <f t="shared" si="12"/>
        <v>75.10232823937292</v>
      </c>
      <c r="AA28" s="229">
        <f t="shared" si="13"/>
        <v>147.7694453433443</v>
      </c>
    </row>
    <row r="29" spans="1:27" ht="12.75">
      <c r="A29" s="32" t="s">
        <v>61</v>
      </c>
      <c r="B29" s="17">
        <f>2*3.14159*4000000</f>
        <v>25132720</v>
      </c>
      <c r="F29" s="78">
        <v>27</v>
      </c>
      <c r="G29" s="229">
        <f>10^('Small Signal'!F29/30)</f>
        <v>7.943282347242818</v>
      </c>
      <c r="H29" s="229" t="str">
        <f t="shared" si="1"/>
        <v>49.9091149349751i</v>
      </c>
      <c r="I29" s="229">
        <f>IF('Small Signal'!$B$37&gt;=1,Q29+0,N29+0)</f>
        <v>23.137892512595847</v>
      </c>
      <c r="J29" s="229">
        <f>IF('Small Signal'!$B$37&gt;=1,R29,O29)</f>
        <v>-0.10242339636039681</v>
      </c>
      <c r="K29" s="229">
        <f>IF('Small Signal'!$B$37&gt;=1,Z29+0,W29+0)</f>
        <v>65.55859109723256</v>
      </c>
      <c r="L29" s="229">
        <f>IF('Small Signal'!$B$37&gt;=1,AA29,X29)</f>
        <v>145.76420707541118</v>
      </c>
      <c r="M29" s="229" t="str">
        <f>IMDIV(IMSUM('Small Signal'!$B$2*'Small Signal'!$B$16*'Small Signal'!$B$38,IMPRODUCT(H29,'Small Signal'!$B$2*'Small Signal'!$B$16*'Small Signal'!$B$38*'Small Signal'!$B$13*'Small Signal'!$B$14)),IMSUM(IMPRODUCT('Small Signal'!$B$11*'Small Signal'!$B$13*('Small Signal'!$B$14+'Small Signal'!$B$16),IMPOWER(H29,2)),IMSUM(IMPRODUCT(H29,('Small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14.3513888477366-0.0256549359573567i</v>
      </c>
      <c r="N29" s="229">
        <f t="shared" si="2"/>
        <v>23.137892512595847</v>
      </c>
      <c r="O29" s="229">
        <f t="shared" si="3"/>
        <v>-0.10242339636039681</v>
      </c>
      <c r="P29" s="229" t="str">
        <f>IMDIV(IMSUM('Small Signal'!$B$48,IMPRODUCT(H29,'Small Signal'!$B$49)),IMSUM(IMPRODUCT('Small Signal'!$B$52,IMPOWER(H29,2)),IMSUM(IMPRODUCT(H29,'Small Signal'!$B$51),'Small Signal'!$B$50)))</f>
        <v>42.078648890736-0.0823862655119369i</v>
      </c>
      <c r="Q29" s="229">
        <f t="shared" si="4"/>
        <v>32.48125237922379</v>
      </c>
      <c r="R29" s="229">
        <f t="shared" si="5"/>
        <v>-0.11217991538212764</v>
      </c>
      <c r="S29" s="229" t="str">
        <f>IMPRODUCT(IMDIV(IMSUM(IMPRODUCT(H29,'Small Signal'!$B$33*'Small Signal'!$B$6*'Small Signal'!$B$27*'Small Signal'!$B$7*'Small Signal'!$B$8),'Small Signal'!$B$33*'Small Signal'!$B$6*'Small Signal'!$B$27),IMSUM(IMSUM(IMPRODUCT(H29,('Small Signal'!$B$5+'Small Signal'!$B$6)*('Small Signal'!$B$32*'Small Signal'!$B$33)+'Small Signal'!$B$5*'Small Signal'!$B$33*('Small Signal'!$B$8+'Small Signal'!$B$9)+'Small Signal'!$B$6*'Small Signal'!$B$33*('Small Signal'!$B$8+'Small Signal'!$B$9)+'Small Signal'!$B$7*'Small Signal'!$B$8*('Small Signal'!$B$5+'Small Signal'!$B$6)),'Small Signal'!$B$6+'Small Signal'!$B$5),IMPRODUCT(IMPOWER(H29,2),'Small Signal'!$B$32*'Small Signal'!$B$33*'Small Signal'!$B$8*'Small Signal'!$B$7*('Small Signal'!$B$5+'Small Signal'!$B$6)+('Small Signal'!$B$5+'Small Signal'!$B$6)*('Small Signal'!$B$9*'Small Signal'!$B$8*'Small Signal'!$B$33*'Small Signal'!$B$7)))),-1)</f>
        <v>-109.376885463938+74.1466582153648i</v>
      </c>
      <c r="T29" s="229">
        <f t="shared" si="6"/>
        <v>42.42069858463669</v>
      </c>
      <c r="U29" s="229">
        <f t="shared" si="7"/>
        <v>145.8666304717716</v>
      </c>
      <c r="V29" s="229" t="str">
        <f t="shared" si="8"/>
        <v>-1567.80798647936+1066.91358080072i</v>
      </c>
      <c r="W29" s="226">
        <f t="shared" si="9"/>
        <v>65.55859109723256</v>
      </c>
      <c r="X29" s="229">
        <f t="shared" si="10"/>
        <v>145.76420707541118</v>
      </c>
      <c r="Y29" s="229" t="str">
        <f t="shared" si="11"/>
        <v>-4596.32289392874+3129.00235059244i</v>
      </c>
      <c r="Z29" s="226">
        <f t="shared" si="12"/>
        <v>74.90195096386049</v>
      </c>
      <c r="AA29" s="229">
        <f t="shared" si="13"/>
        <v>145.7544505563895</v>
      </c>
    </row>
    <row r="30" spans="1:27" ht="12.75">
      <c r="A30" s="32" t="s">
        <v>56</v>
      </c>
      <c r="B30" s="17">
        <f>1/'Design Equations CCM'!B176</f>
        <v>0.08333333333333333</v>
      </c>
      <c r="F30" s="78">
        <v>28</v>
      </c>
      <c r="G30" s="229">
        <f>10^('Small Signal'!F30/30)</f>
        <v>8.576958985908941</v>
      </c>
      <c r="H30" s="229" t="str">
        <f t="shared" si="1"/>
        <v>53.890622680545i</v>
      </c>
      <c r="I30" s="229">
        <f>IF('Small Signal'!$B$37&gt;=1,Q30+0,N30+0)</f>
        <v>23.137890313472077</v>
      </c>
      <c r="J30" s="229">
        <f>IF('Small Signal'!$B$37&gt;=1,R30,O30)</f>
        <v>-0.11059422120870073</v>
      </c>
      <c r="K30" s="229">
        <f>IF('Small Signal'!$B$37&gt;=1,Z30+0,W30+0)</f>
        <v>65.33607471755298</v>
      </c>
      <c r="L30" s="229">
        <f>IF('Small Signal'!$B$37&gt;=1,AA30,X30)</f>
        <v>143.6926568776531</v>
      </c>
      <c r="M30" s="229" t="str">
        <f>IMDIV(IMSUM('Small Signal'!$B$2*'Small Signal'!$B$16*'Small Signal'!$B$38,IMPRODUCT(H30,'Small Signal'!$B$2*'Small Signal'!$B$16*'Small Signal'!$B$38*'Small Signal'!$B$13*'Small Signal'!$B$14)),IMSUM(IMPRODUCT('Small Signal'!$B$11*'Small Signal'!$B$13*('Small Signal'!$B$14+'Small Signal'!$B$16),IMPOWER(H30,2)),IMSUM(IMPRODUCT(H30,('Small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14.3513814096776-0.027701548612053i</v>
      </c>
      <c r="N30" s="229">
        <f t="shared" si="2"/>
        <v>23.137890313472077</v>
      </c>
      <c r="O30" s="229">
        <f t="shared" si="3"/>
        <v>-0.11059422120870073</v>
      </c>
      <c r="P30" s="229" t="str">
        <f>IMDIV(IMSUM('Small Signal'!$B$48,IMPRODUCT(H30,'Small Signal'!$B$49)),IMSUM(IMPRODUCT('Small Signal'!$B$52,IMPOWER(H30,2)),IMSUM(IMPRODUCT(H30,'Small Signal'!$B$51),'Small Signal'!$B$50)))</f>
        <v>42.0786268455705-0.0889586066214846i</v>
      </c>
      <c r="Q30" s="229">
        <f t="shared" si="4"/>
        <v>32.48125059084038</v>
      </c>
      <c r="R30" s="229">
        <f t="shared" si="5"/>
        <v>-0.12112907429224727</v>
      </c>
      <c r="S30" s="229" t="str">
        <f>IMPRODUCT(IMDIV(IMSUM(IMPRODUCT(H30,'Small Signal'!$B$33*'Small Signal'!$B$6*'Small Signal'!$B$27*'Small Signal'!$B$7*'Small Signal'!$B$8),'Small Signal'!$B$33*'Small Signal'!$B$6*'Small Signal'!$B$27),IMSUM(IMSUM(IMPRODUCT(H30,('Small Signal'!$B$5+'Small Signal'!$B$6)*('Small Signal'!$B$32*'Small Signal'!$B$33)+'Small Signal'!$B$5*'Small Signal'!$B$33*('Small Signal'!$B$8+'Small Signal'!$B$9)+'Small Signal'!$B$6*'Small Signal'!$B$33*('Small Signal'!$B$8+'Small Signal'!$B$9)+'Small Signal'!$B$7*'Small Signal'!$B$8*('Small Signal'!$B$5+'Small Signal'!$B$6)),'Small Signal'!$B$6+'Small Signal'!$B$5),IMPRODUCT(IMPOWER(H30,2),'Small Signal'!$B$32*'Small Signal'!$B$33*'Small Signal'!$B$8*'Small Signal'!$B$7*('Small Signal'!$B$5+'Small Signal'!$B$6)+('Small Signal'!$B$5+'Small Signal'!$B$6)*('Small Signal'!$B$9*'Small Signal'!$B$8*'Small Signal'!$B$33*'Small Signal'!$B$7)))),-1)</f>
        <v>-103.939214599359+76.0629488216075i</v>
      </c>
      <c r="T30" s="229">
        <f t="shared" si="6"/>
        <v>42.198184404080905</v>
      </c>
      <c r="U30" s="229">
        <f t="shared" si="7"/>
        <v>143.80325109886186</v>
      </c>
      <c r="V30" s="229" t="str">
        <f t="shared" si="8"/>
        <v>-1489.56425066337+1094.4876668896i</v>
      </c>
      <c r="W30" s="226">
        <f t="shared" si="9"/>
        <v>65.33607471755298</v>
      </c>
      <c r="X30" s="229">
        <f t="shared" si="10"/>
        <v>143.6926568776531</v>
      </c>
      <c r="Y30" s="229" t="str">
        <f t="shared" si="11"/>
        <v>-4366.85297180541+3209.87072794224i</v>
      </c>
      <c r="Z30" s="226">
        <f t="shared" si="12"/>
        <v>74.6794349949213</v>
      </c>
      <c r="AA30" s="229">
        <f t="shared" si="13"/>
        <v>143.68212202456962</v>
      </c>
    </row>
    <row r="31" spans="1:27" ht="12.75">
      <c r="A31" s="32" t="s">
        <v>59</v>
      </c>
      <c r="B31" s="17">
        <f>'Design Equations CCM'!B177*'Design Equations CCM'!B73*'Small Signal'!B30</f>
        <v>50</v>
      </c>
      <c r="F31" s="78">
        <v>29</v>
      </c>
      <c r="G31" s="229">
        <f>10^('Small Signal'!F31/30)</f>
        <v>9.261187281287938</v>
      </c>
      <c r="H31" s="229" t="str">
        <f t="shared" si="1"/>
        <v>58.1897558528268i</v>
      </c>
      <c r="I31" s="229">
        <f>IF('Small Signal'!$B$37&gt;=1,Q31+0,N31+0)</f>
        <v>23.137887749483465</v>
      </c>
      <c r="J31" s="229">
        <f>IF('Small Signal'!$B$37&gt;=1,R31,O31)</f>
        <v>-0.11941687021737571</v>
      </c>
      <c r="K31" s="229">
        <f>IF('Small Signal'!$B$37&gt;=1,Z31+0,W31+0)</f>
        <v>65.09026358800965</v>
      </c>
      <c r="L31" s="229">
        <f>IF('Small Signal'!$B$37&gt;=1,AA31,X31)</f>
        <v>141.57333381147842</v>
      </c>
      <c r="M31" s="229" t="str">
        <f>IMDIV(IMSUM('Small Signal'!$B$2*'Small Signal'!$B$16*'Small Signal'!$B$38,IMPRODUCT(H31,'Small Signal'!$B$2*'Small Signal'!$B$16*'Small Signal'!$B$38*'Small Signal'!$B$13*'Small Signal'!$B$14)),IMSUM(IMPRODUCT('Small Signal'!$B$11*'Small Signal'!$B$13*('Small Signal'!$B$14+'Small Signal'!$B$16),IMPOWER(H31,2)),IMSUM(IMPRODUCT(H31,('Small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14.3513727375471-0.0299114264918809i</v>
      </c>
      <c r="N31" s="229">
        <f t="shared" si="2"/>
        <v>23.137887749483465</v>
      </c>
      <c r="O31" s="229">
        <f t="shared" si="3"/>
        <v>-0.11941687021737571</v>
      </c>
      <c r="P31" s="229" t="str">
        <f>IMDIV(IMSUM('Small Signal'!$B$48,IMPRODUCT(H31,'Small Signal'!$B$49)),IMSUM(IMPRODUCT('Small Signal'!$B$52,IMPOWER(H31,2)),IMSUM(IMPRODUCT(H31,'Small Signal'!$B$51),'Small Signal'!$B$50)))</f>
        <v>42.078601142816-0.0960552478345195i</v>
      </c>
      <c r="Q31" s="229">
        <f t="shared" si="4"/>
        <v>32.48124850573919</v>
      </c>
      <c r="R31" s="229">
        <f t="shared" si="5"/>
        <v>-0.1307921506872301</v>
      </c>
      <c r="S31" s="229" t="str">
        <f>IMPRODUCT(IMDIV(IMSUM(IMPRODUCT(H31,'Small Signal'!$B$33*'Small Signal'!$B$6*'Small Signal'!$B$27*'Small Signal'!$B$7*'Small Signal'!$B$8),'Small Signal'!$B$33*'Small Signal'!$B$6*'Small Signal'!$B$27),IMSUM(IMSUM(IMPRODUCT(H31,('Small Signal'!$B$5+'Small Signal'!$B$6)*('Small Signal'!$B$32*'Small Signal'!$B$33)+'Small Signal'!$B$5*'Small Signal'!$B$33*('Small Signal'!$B$8+'Small Signal'!$B$9)+'Small Signal'!$B$6*'Small Signal'!$B$33*('Small Signal'!$B$8+'Small Signal'!$B$9)+'Small Signal'!$B$7*'Small Signal'!$B$8*('Small Signal'!$B$5+'Small Signal'!$B$6)),'Small Signal'!$B$6+'Small Signal'!$B$5),IMPRODUCT(IMPOWER(H31,2),'Small Signal'!$B$32*'Small Signal'!$B$33*'Small Signal'!$B$8*'Small Signal'!$B$7*('Small Signal'!$B$5+'Small Signal'!$B$6)+('Small Signal'!$B$5+'Small Signal'!$B$6)*('Small Signal'!$B$9*'Small Signal'!$B$8*'Small Signal'!$B$33*'Small Signal'!$B$7)))),-1)</f>
        <v>-98.2474547912769+77.6113502971777i</v>
      </c>
      <c r="T31" s="229">
        <f t="shared" si="6"/>
        <v>41.952375838526194</v>
      </c>
      <c r="U31" s="229">
        <f t="shared" si="7"/>
        <v>141.6927506816959</v>
      </c>
      <c r="V31" s="229" t="str">
        <f t="shared" si="8"/>
        <v>-1407.66437802557+1116.76813830114i</v>
      </c>
      <c r="W31" s="226">
        <f t="shared" si="9"/>
        <v>65.09026358800965</v>
      </c>
      <c r="X31" s="229">
        <f t="shared" si="10"/>
        <v>141.57333381147842</v>
      </c>
      <c r="Y31" s="229" t="str">
        <f t="shared" si="11"/>
        <v>-4126.66048597142+3275.2142369294i</v>
      </c>
      <c r="Z31" s="226">
        <f t="shared" si="12"/>
        <v>74.43362434426538</v>
      </c>
      <c r="AA31" s="229">
        <f t="shared" si="13"/>
        <v>141.56195853100868</v>
      </c>
    </row>
    <row r="32" spans="1:27" ht="12.75">
      <c r="A32" s="31" t="s">
        <v>70</v>
      </c>
      <c r="B32" s="15">
        <f>B27/B29</f>
        <v>1.3926069283388347E-11</v>
      </c>
      <c r="F32" s="78">
        <v>30</v>
      </c>
      <c r="G32" s="229">
        <f>10^('Small Signal'!F32/30)</f>
        <v>10</v>
      </c>
      <c r="H32" s="229" t="str">
        <f t="shared" si="1"/>
        <v>62.8318530717959i</v>
      </c>
      <c r="I32" s="229">
        <f>IF('Small Signal'!$B$37&gt;=1,Q32+0,N32+0)</f>
        <v>23.137884760094025</v>
      </c>
      <c r="J32" s="229">
        <f>IF('Small Signal'!$B$37&gt;=1,R32,O32)</f>
        <v>-0.12894334154295736</v>
      </c>
      <c r="K32" s="229">
        <f>IF('Small Signal'!$B$37&gt;=1,Z32+0,W32+0)</f>
        <v>64.82020233629837</v>
      </c>
      <c r="L32" s="229">
        <f>IF('Small Signal'!$B$37&gt;=1,AA32,X32)</f>
        <v>139.41699283615398</v>
      </c>
      <c r="M32" s="229" t="str">
        <f>IMDIV(IMSUM('Small Signal'!$B$2*'Small Signal'!$B$16*'Small Signal'!$B$38,IMPRODUCT(H32,'Small Signal'!$B$2*'Small Signal'!$B$16*'Small Signal'!$B$38*'Small Signal'!$B$13*'Small Signal'!$B$14)),IMSUM(IMPRODUCT('Small Signal'!$B$11*'Small Signal'!$B$13*('Small Signal'!$B$14+'Small Signal'!$B$16),IMPOWER(H32,2)),IMSUM(IMPRODUCT(H32,('Small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14.351362626598-0.0322975931663682i</v>
      </c>
      <c r="N32" s="229">
        <f t="shared" si="2"/>
        <v>23.137884760094025</v>
      </c>
      <c r="O32" s="229">
        <f t="shared" si="3"/>
        <v>-0.12894334154295736</v>
      </c>
      <c r="P32" s="229" t="str">
        <f>IMDIV(IMSUM('Small Signal'!$B$48,IMPRODUCT(H32,'Small Signal'!$B$49)),IMSUM(IMPRODUCT('Small Signal'!$B$52,IMPOWER(H32,2)),IMSUM(IMPRODUCT(H32,'Small Signal'!$B$51),'Small Signal'!$B$50)))</f>
        <v>42.0785711756338-0.103718012823502i</v>
      </c>
      <c r="Q32" s="229">
        <f t="shared" si="4"/>
        <v>32.48124607469077</v>
      </c>
      <c r="R32" s="229">
        <f t="shared" si="5"/>
        <v>-0.1412260966425045</v>
      </c>
      <c r="S32" s="229" t="str">
        <f>IMPRODUCT(IMDIV(IMSUM(IMPRODUCT(H32,'Small Signal'!$B$33*'Small Signal'!$B$6*'Small Signal'!$B$27*'Small Signal'!$B$7*'Small Signal'!$B$8),'Small Signal'!$B$33*'Small Signal'!$B$6*'Small Signal'!$B$27),IMSUM(IMSUM(IMPRODUCT(H32,('Small Signal'!$B$5+'Small Signal'!$B$6)*('Small Signal'!$B$32*'Small Signal'!$B$33)+'Small Signal'!$B$5*'Small Signal'!$B$33*('Small Signal'!$B$8+'Small Signal'!$B$9)+'Small Signal'!$B$6*'Small Signal'!$B$33*('Small Signal'!$B$8+'Small Signal'!$B$9)+'Small Signal'!$B$7*'Small Signal'!$B$8*('Small Signal'!$B$5+'Small Signal'!$B$6)),'Small Signal'!$B$6+'Small Signal'!$B$5),IMPRODUCT(IMPOWER(H32,2),'Small Signal'!$B$32*'Small Signal'!$B$33*'Small Signal'!$B$8*'Small Signal'!$B$7*('Small Signal'!$B$5+'Small Signal'!$B$6)+('Small Signal'!$B$5+'Small Signal'!$B$6)*('Small Signal'!$B$9*'Small Signal'!$B$8*'Small Signal'!$B$33*'Small Signal'!$B$7)))),-1)</f>
        <v>-92.3546007973297+78.7503124137077i</v>
      </c>
      <c r="T32" s="229">
        <f t="shared" si="6"/>
        <v>41.68231757620434</v>
      </c>
      <c r="U32" s="229">
        <f t="shared" si="7"/>
        <v>139.5459361776971</v>
      </c>
      <c r="V32" s="229" t="str">
        <f t="shared" si="8"/>
        <v>-1322.87092072511+1133.1571217306i</v>
      </c>
      <c r="W32" s="226">
        <f t="shared" si="9"/>
        <v>64.82020233629837</v>
      </c>
      <c r="X32" s="229">
        <f t="shared" si="10"/>
        <v>139.41699283615398</v>
      </c>
      <c r="Y32" s="229" t="str">
        <f t="shared" si="11"/>
        <v>-3877.9818171349+3323.2794616734i</v>
      </c>
      <c r="Z32" s="226">
        <f t="shared" si="12"/>
        <v>74.16356365089511</v>
      </c>
      <c r="AA32" s="229">
        <f t="shared" si="13"/>
        <v>139.40471008105462</v>
      </c>
    </row>
    <row r="33" spans="1:27" ht="12.75">
      <c r="A33" s="31" t="s">
        <v>71</v>
      </c>
      <c r="B33" s="15">
        <f>B28/B27</f>
        <v>2857142.8571428573</v>
      </c>
      <c r="F33" s="78">
        <v>31</v>
      </c>
      <c r="G33" s="229">
        <f>10^('Small Signal'!F33/30)</f>
        <v>10.797751623277103</v>
      </c>
      <c r="H33" s="229" t="str">
        <f t="shared" si="1"/>
        <v>67.8442743499492i</v>
      </c>
      <c r="I33" s="229">
        <f>IF('Small Signal'!$B$37&gt;=1,Q33+0,N33+0)</f>
        <v>23.137881274724478</v>
      </c>
      <c r="J33" s="229">
        <f>IF('Small Signal'!$B$37&gt;=1,R33,O33)</f>
        <v>-0.1392297811870381</v>
      </c>
      <c r="K33" s="229">
        <f>IF('Small Signal'!$B$37&gt;=1,Z33+0,W33+0)</f>
        <v>64.52517607925395</v>
      </c>
      <c r="L33" s="229">
        <f>IF('Small Signal'!$B$37&gt;=1,AA33,X33)</f>
        <v>137.2354081921202</v>
      </c>
      <c r="M33" s="229" t="str">
        <f>IMDIV(IMSUM('Small Signal'!$B$2*'Small Signal'!$B$16*'Small Signal'!$B$38,IMPRODUCT(H33,'Small Signal'!$B$2*'Small Signal'!$B$16*'Small Signal'!$B$38*'Small Signal'!$B$13*'Small Signal'!$B$14)),IMSUM(IMPRODUCT('Small Signal'!$B$11*'Small Signal'!$B$13*('Small Signal'!$B$14+'Small Signal'!$B$16),IMPOWER(H33,2)),IMSUM(IMPRODUCT(H33,('Small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14.3513508381145-0.0348741109189503i</v>
      </c>
      <c r="N33" s="229">
        <f t="shared" si="2"/>
        <v>23.137881274724478</v>
      </c>
      <c r="O33" s="229">
        <f t="shared" si="3"/>
        <v>-0.1392297811870381</v>
      </c>
      <c r="P33" s="229" t="str">
        <f>IMDIV(IMSUM('Small Signal'!$B$48,IMPRODUCT(H33,'Small Signal'!$B$49)),IMSUM(IMPRODUCT('Small Signal'!$B$52,IMPOWER(H33,2)),IMSUM(IMPRODUCT(H33,'Small Signal'!$B$51),'Small Signal'!$B$50)))</f>
        <v>42.0785362365042-0.111992061115912i</v>
      </c>
      <c r="Q33" s="229">
        <f t="shared" si="4"/>
        <v>32.48124324029784</v>
      </c>
      <c r="R33" s="229">
        <f t="shared" si="5"/>
        <v>-0.15249240738540049</v>
      </c>
      <c r="S33" s="229" t="str">
        <f>IMPRODUCT(IMDIV(IMSUM(IMPRODUCT(H33,'Small Signal'!$B$33*'Small Signal'!$B$6*'Small Signal'!$B$27*'Small Signal'!$B$7*'Small Signal'!$B$8),'Small Signal'!$B$33*'Small Signal'!$B$6*'Small Signal'!$B$27),IMSUM(IMSUM(IMPRODUCT(H33,('Small Signal'!$B$5+'Small Signal'!$B$6)*('Small Signal'!$B$32*'Small Signal'!$B$33)+'Small Signal'!$B$5*'Small Signal'!$B$33*('Small Signal'!$B$8+'Small Signal'!$B$9)+'Small Signal'!$B$6*'Small Signal'!$B$33*('Small Signal'!$B$8+'Small Signal'!$B$9)+'Small Signal'!$B$7*'Small Signal'!$B$8*('Small Signal'!$B$5+'Small Signal'!$B$6)),'Small Signal'!$B$6+'Small Signal'!$B$5),IMPRODUCT(IMPOWER(H33,2),'Small Signal'!$B$32*'Small Signal'!$B$33*'Small Signal'!$B$8*'Small Signal'!$B$7*('Small Signal'!$B$5+'Small Signal'!$B$6)+('Small Signal'!$B$5+'Small Signal'!$B$6)*('Small Signal'!$B$9*'Small Signal'!$B$8*'Small Signal'!$B$33*'Small Signal'!$B$7)))),-1)</f>
        <v>-86.322296622258+79.4479698107861i</v>
      </c>
      <c r="T33" s="229">
        <f t="shared" si="6"/>
        <v>41.38729480452951</v>
      </c>
      <c r="U33" s="229">
        <f t="shared" si="7"/>
        <v>137.37463797330724</v>
      </c>
      <c r="V33" s="229" t="str">
        <f t="shared" si="8"/>
        <v>-1236.07088666634+1143.1961014777i</v>
      </c>
      <c r="W33" s="226">
        <f t="shared" si="9"/>
        <v>64.52517607925395</v>
      </c>
      <c r="X33" s="229">
        <f t="shared" si="10"/>
        <v>137.2354081921202</v>
      </c>
      <c r="Y33" s="229" t="str">
        <f t="shared" si="11"/>
        <v>-3623.41834454736+3352.72168851884i</v>
      </c>
      <c r="Z33" s="226">
        <f t="shared" si="12"/>
        <v>73.86853804482735</v>
      </c>
      <c r="AA33" s="229">
        <f t="shared" si="13"/>
        <v>137.2221455659218</v>
      </c>
    </row>
    <row r="34" spans="1:27" ht="12.75">
      <c r="A34" s="31" t="s">
        <v>54</v>
      </c>
      <c r="B34" s="27">
        <f>((1/(B13*B11))^0.5)*(1/(2*3.14159))</f>
        <v>10925.88568617844</v>
      </c>
      <c r="F34" s="78">
        <v>32</v>
      </c>
      <c r="G34" s="229">
        <f>10^('Small Signal'!F34/30)</f>
        <v>11.659144011798322</v>
      </c>
      <c r="H34" s="229" t="str">
        <f t="shared" si="1"/>
        <v>73.2565623492221i</v>
      </c>
      <c r="I34" s="229">
        <f>IF('Small Signal'!$B$37&gt;=1,Q34+0,N34+0)</f>
        <v>23.137877211085463</v>
      </c>
      <c r="J34" s="229">
        <f>IF('Small Signal'!$B$37&gt;=1,R34,O34)</f>
        <v>-0.15033681380938474</v>
      </c>
      <c r="K34" s="229">
        <f>IF('Small Signal'!$B$37&gt;=1,Z34+0,W34+0)</f>
        <v>64.20474186154345</v>
      </c>
      <c r="L34" s="229">
        <f>IF('Small Signal'!$B$37&gt;=1,AA34,X34)</f>
        <v>135.04107572413056</v>
      </c>
      <c r="M34" s="229" t="str">
        <f>IMDIV(IMSUM('Small Signal'!$B$2*'Small Signal'!$B$16*'Small Signal'!$B$38,IMPRODUCT(H34,'Small Signal'!$B$2*'Small Signal'!$B$16*'Small Signal'!$B$38*'Small Signal'!$B$13*'Small Signal'!$B$14)),IMSUM(IMPRODUCT('Small Signal'!$B$11*'Small Signal'!$B$13*('Small Signal'!$B$14+'Small Signal'!$B$16),IMPOWER(H34,2)),IMSUM(IMPRODUCT(H34,('Small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14.3513370937757-0.0376561635475029i</v>
      </c>
      <c r="N34" s="229">
        <f t="shared" si="2"/>
        <v>23.137877211085463</v>
      </c>
      <c r="O34" s="229">
        <f t="shared" si="3"/>
        <v>-0.15033681380938474</v>
      </c>
      <c r="P34" s="229" t="str">
        <f>IMDIV(IMSUM('Small Signal'!$B$48,IMPRODUCT(H34,'Small Signal'!$B$49)),IMSUM(IMPRODUCT('Small Signal'!$B$52,IMPOWER(H34,2)),IMSUM(IMPRODUCT(H34,'Small Signal'!$B$51),'Small Signal'!$B$50)))</f>
        <v>42.0784955005237-0.120926154048145i</v>
      </c>
      <c r="Q34" s="229">
        <f t="shared" si="4"/>
        <v>32.48123993564025</v>
      </c>
      <c r="R34" s="229">
        <f t="shared" si="5"/>
        <v>-0.1646574836716672</v>
      </c>
      <c r="S34" s="229" t="str">
        <f>IMPRODUCT(IMDIV(IMSUM(IMPRODUCT(H34,'Small Signal'!$B$33*'Small Signal'!$B$6*'Small Signal'!$B$27*'Small Signal'!$B$7*'Small Signal'!$B$8),'Small Signal'!$B$33*'Small Signal'!$B$6*'Small Signal'!$B$27),IMSUM(IMSUM(IMPRODUCT(H34,('Small Signal'!$B$5+'Small Signal'!$B$6)*('Small Signal'!$B$32*'Small Signal'!$B$33)+'Small Signal'!$B$5*'Small Signal'!$B$33*('Small Signal'!$B$8+'Small Signal'!$B$9)+'Small Signal'!$B$6*'Small Signal'!$B$33*('Small Signal'!$B$8+'Small Signal'!$B$9)+'Small Signal'!$B$7*'Small Signal'!$B$8*('Small Signal'!$B$5+'Small Signal'!$B$6)),'Small Signal'!$B$6+'Small Signal'!$B$5),IMPRODUCT(IMPOWER(H34,2),'Small Signal'!$B$32*'Small Signal'!$B$33*'Small Signal'!$B$8*'Small Signal'!$B$7*('Small Signal'!$B$5+'Small Signal'!$B$6)+('Small Signal'!$B$5+'Small Signal'!$B$6)*('Small Signal'!$B$9*'Small Signal'!$B$8*'Small Signal'!$B$33*'Small Signal'!$B$7)))),-1)</f>
        <v>-80.2184526009815+79.6842510166555i</v>
      </c>
      <c r="T34" s="229">
        <f t="shared" si="6"/>
        <v>41.066864650458</v>
      </c>
      <c r="U34" s="229">
        <f t="shared" si="7"/>
        <v>135.1914125379399</v>
      </c>
      <c r="V34" s="229" t="str">
        <f t="shared" si="8"/>
        <v>-1148.24145122931+1146.59626657573i</v>
      </c>
      <c r="W34" s="226">
        <f t="shared" si="9"/>
        <v>64.20474186154345</v>
      </c>
      <c r="X34" s="229">
        <f t="shared" si="10"/>
        <v>135.04107572413056</v>
      </c>
      <c r="Y34" s="229" t="str">
        <f t="shared" si="11"/>
        <v>-3365.83588681572+3362.69390682367i</v>
      </c>
      <c r="Z34" s="226">
        <f t="shared" si="12"/>
        <v>73.54810458609825</v>
      </c>
      <c r="AA34" s="229">
        <f t="shared" si="13"/>
        <v>135.02675505426822</v>
      </c>
    </row>
    <row r="35" spans="1:27" ht="12.75">
      <c r="A35" s="31" t="s">
        <v>55</v>
      </c>
      <c r="B35" s="15">
        <f>1/(B13*B14*2*3.14159)</f>
        <v>1091349.1030247197</v>
      </c>
      <c r="F35" s="78">
        <v>33</v>
      </c>
      <c r="G35" s="229">
        <f>10^('Small Signal'!F35/30)</f>
        <v>12.58925411794168</v>
      </c>
      <c r="H35" s="229" t="str">
        <f t="shared" si="1"/>
        <v>79.1006165022013i</v>
      </c>
      <c r="I35" s="229">
        <f>IF('Small Signal'!$B$37&gt;=1,Q35+0,N35+0)</f>
        <v>23.137872473235</v>
      </c>
      <c r="J35" s="229">
        <f>IF('Small Signal'!$B$37&gt;=1,R35,O35)</f>
        <v>-0.16232989991051378</v>
      </c>
      <c r="K35" s="229">
        <f>IF('Small Signal'!$B$37&gt;=1,Z35+0,W35+0)</f>
        <v>63.85874882747557</v>
      </c>
      <c r="L35" s="229">
        <f>IF('Small Signal'!$B$37&gt;=1,AA35,X35)</f>
        <v>132.84686651275794</v>
      </c>
      <c r="M35" s="229" t="str">
        <f>IMDIV(IMSUM('Small Signal'!$B$2*'Small Signal'!$B$16*'Small Signal'!$B$38,IMPRODUCT(H35,'Small Signal'!$B$2*'Small Signal'!$B$16*'Small Signal'!$B$38*'Small Signal'!$B$13*'Small Signal'!$B$14)),IMSUM(IMPRODUCT('Small Signal'!$B$11*'Small Signal'!$B$13*('Small Signal'!$B$14+'Small Signal'!$B$16),IMPOWER(H35,2)),IMSUM(IMPRODUCT(H35,('Small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14.3513210690856-0.0406601457539807i</v>
      </c>
      <c r="N35" s="229">
        <f t="shared" si="2"/>
        <v>23.137872473235</v>
      </c>
      <c r="O35" s="229">
        <f t="shared" si="3"/>
        <v>-0.16232989991051378</v>
      </c>
      <c r="P35" s="229" t="str">
        <f>IMDIV(IMSUM('Small Signal'!$B$48,IMPRODUCT(H35,'Small Signal'!$B$49)),IMSUM(IMPRODUCT('Small Signal'!$B$52,IMPOWER(H35,2)),IMSUM(IMPRODUCT(H35,'Small Signal'!$B$51),'Small Signal'!$B$50)))</f>
        <v>42.0784480059313-0.130572941893353i</v>
      </c>
      <c r="Q35" s="229">
        <f t="shared" si="4"/>
        <v>32.48123608269512</v>
      </c>
      <c r="R35" s="229">
        <f t="shared" si="5"/>
        <v>-0.17779302305663214</v>
      </c>
      <c r="S35" s="229" t="str">
        <f>IMPRODUCT(IMDIV(IMSUM(IMPRODUCT(H35,'Small Signal'!$B$33*'Small Signal'!$B$6*'Small Signal'!$B$27*'Small Signal'!$B$7*'Small Signal'!$B$8),'Small Signal'!$B$33*'Small Signal'!$B$6*'Small Signal'!$B$27),IMSUM(IMSUM(IMPRODUCT(H35,('Small Signal'!$B$5+'Small Signal'!$B$6)*('Small Signal'!$B$32*'Small Signal'!$B$33)+'Small Signal'!$B$5*'Small Signal'!$B$33*('Small Signal'!$B$8+'Small Signal'!$B$9)+'Small Signal'!$B$6*'Small Signal'!$B$33*('Small Signal'!$B$8+'Small Signal'!$B$9)+'Small Signal'!$B$7*'Small Signal'!$B$8*('Small Signal'!$B$5+'Small Signal'!$B$6)),'Small Signal'!$B$6+'Small Signal'!$B$5),IMPRODUCT(IMPOWER(H35,2),'Small Signal'!$B$32*'Small Signal'!$B$33*'Small Signal'!$B$8*'Small Signal'!$B$7*('Small Signal'!$B$5+'Small Signal'!$B$6)+('Small Signal'!$B$5+'Small Signal'!$B$6)*('Small Signal'!$B$9*'Small Signal'!$B$8*'Small Signal'!$B$33*'Small Signal'!$B$7)))),-1)</f>
        <v>-74.1142790395701+79.4522623021828i</v>
      </c>
      <c r="T35" s="229">
        <f t="shared" si="6"/>
        <v>40.72087635424058</v>
      </c>
      <c r="U35" s="229">
        <f t="shared" si="7"/>
        <v>133.00919641266847</v>
      </c>
      <c r="V35" s="229" t="str">
        <f t="shared" si="8"/>
        <v>-1060.40727373498+1143.25842335203i</v>
      </c>
      <c r="W35" s="226">
        <f t="shared" si="9"/>
        <v>63.85874882747557</v>
      </c>
      <c r="X35" s="229">
        <f t="shared" si="10"/>
        <v>132.84686651275794</v>
      </c>
      <c r="Y35" s="229" t="str">
        <f t="shared" si="11"/>
        <v>-3108.23952143476+3352.90520768652i</v>
      </c>
      <c r="Z35" s="226">
        <f t="shared" si="12"/>
        <v>73.20211243693572</v>
      </c>
      <c r="AA35" s="229">
        <f t="shared" si="13"/>
        <v>132.83140338961184</v>
      </c>
    </row>
    <row r="36" spans="1:27" ht="12.75">
      <c r="A36" s="66"/>
      <c r="B36" s="3"/>
      <c r="F36" s="78">
        <v>34</v>
      </c>
      <c r="G36" s="229">
        <f>10^('Small Signal'!F36/30)</f>
        <v>13.593563908785256</v>
      </c>
      <c r="H36" s="229" t="str">
        <f t="shared" si="1"/>
        <v>85.4108810238862i</v>
      </c>
      <c r="I36" s="229">
        <f>IF('Small Signal'!$B$37&gt;=1,Q36+0,N36+0)</f>
        <v>23.137866949313462</v>
      </c>
      <c r="J36" s="229">
        <f>IF('Small Signal'!$B$37&gt;=1,R36,O36)</f>
        <v>-0.1752797214818644</v>
      </c>
      <c r="K36" s="229">
        <f>IF('Small Signal'!$B$37&gt;=1,Z36+0,W36+0)</f>
        <v>63.487345214014866</v>
      </c>
      <c r="L36" s="229">
        <f>IF('Small Signal'!$B$37&gt;=1,AA36,X36)</f>
        <v>130.66565444484502</v>
      </c>
      <c r="M36" s="229" t="str">
        <f>IMDIV(IMSUM('Small Signal'!$B$2*'Small Signal'!$B$16*'Small Signal'!$B$38,IMPRODUCT(H36,'Small Signal'!$B$2*'Small Signal'!$B$16*'Small Signal'!$B$38*'Small Signal'!$B$13*'Small Signal'!$B$14)),IMSUM(IMPRODUCT('Small Signal'!$B$11*'Small Signal'!$B$13*('Small Signal'!$B$14+'Small Signal'!$B$16),IMPOWER(H36,2)),IMSUM(IMPRODUCT(H36,('Small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14.3513023857128-0.0439037596445804i</v>
      </c>
      <c r="N36" s="229">
        <f t="shared" si="2"/>
        <v>23.137866949313462</v>
      </c>
      <c r="O36" s="229">
        <f t="shared" si="3"/>
        <v>-0.1752797214818644</v>
      </c>
      <c r="P36" s="229" t="str">
        <f>IMDIV(IMSUM('Small Signal'!$B$48,IMPRODUCT(H36,'Small Signal'!$B$49)),IMSUM(IMPRODUCT('Small Signal'!$B$52,IMPOWER(H36,2)),IMSUM(IMPRODUCT(H36,'Small Signal'!$B$51),'Small Signal'!$B$50)))</f>
        <v>42.0783926314017-0.140989273841315i</v>
      </c>
      <c r="Q36" s="229">
        <f t="shared" si="4"/>
        <v>32.4812315904945</v>
      </c>
      <c r="R36" s="229">
        <f t="shared" si="5"/>
        <v>-0.19197644236239844</v>
      </c>
      <c r="S36" s="229" t="str">
        <f>IMPRODUCT(IMDIV(IMSUM(IMPRODUCT(H36,'Small Signal'!$B$33*'Small Signal'!$B$6*'Small Signal'!$B$27*'Small Signal'!$B$7*'Small Signal'!$B$8),'Small Signal'!$B$33*'Small Signal'!$B$6*'Small Signal'!$B$27),IMSUM(IMSUM(IMPRODUCT(H36,('Small Signal'!$B$5+'Small Signal'!$B$6)*('Small Signal'!$B$32*'Small Signal'!$B$33)+'Small Signal'!$B$5*'Small Signal'!$B$33*('Small Signal'!$B$8+'Small Signal'!$B$9)+'Small Signal'!$B$6*'Small Signal'!$B$33*('Small Signal'!$B$8+'Small Signal'!$B$9)+'Small Signal'!$B$7*'Small Signal'!$B$8*('Small Signal'!$B$5+'Small Signal'!$B$6)),'Small Signal'!$B$6+'Small Signal'!$B$5),IMPRODUCT(IMPOWER(H36,2),'Small Signal'!$B$32*'Small Signal'!$B$33*'Small Signal'!$B$8*'Small Signal'!$B$7*('Small Signal'!$B$5+'Small Signal'!$B$6)+('Small Signal'!$B$5+'Small Signal'!$B$6)*('Small Signal'!$B$9*'Small Signal'!$B$8*'Small Signal'!$B$33*'Small Signal'!$B$7)))),-1)</f>
        <v>-68.0810015787549+78.7587727036567i</v>
      </c>
      <c r="T36" s="229">
        <f t="shared" si="6"/>
        <v>40.34947826470138</v>
      </c>
      <c r="U36" s="229">
        <f t="shared" si="7"/>
        <v>130.84093416632697</v>
      </c>
      <c r="V36" s="229" t="str">
        <f t="shared" si="8"/>
        <v>-973.593234152219+1133.27997452748i</v>
      </c>
      <c r="W36" s="226">
        <f t="shared" si="9"/>
        <v>63.487345214014866</v>
      </c>
      <c r="X36" s="229">
        <f t="shared" si="10"/>
        <v>130.66565444484502</v>
      </c>
      <c r="Y36" s="229" t="str">
        <f t="shared" si="11"/>
        <v>-2853.63497299781+3323.64125196677i</v>
      </c>
      <c r="Z36" s="226">
        <f t="shared" si="12"/>
        <v>72.8307098551959</v>
      </c>
      <c r="AA36" s="229">
        <f t="shared" si="13"/>
        <v>130.6489577239646</v>
      </c>
    </row>
    <row r="37" spans="1:27" ht="12.75">
      <c r="A37" s="91" t="s">
        <v>89</v>
      </c>
      <c r="B37" s="89">
        <f>(1-(B3/B2))/(2*B11*B10/(B3/B4))</f>
        <v>0.09545454545454544</v>
      </c>
      <c r="F37" s="78">
        <v>35</v>
      </c>
      <c r="G37" s="229">
        <f>10^('Small Signal'!F37/30)</f>
        <v>14.677992676220699</v>
      </c>
      <c r="H37" s="229" t="str">
        <f t="shared" si="1"/>
        <v>92.2245479221195i</v>
      </c>
      <c r="I37" s="229">
        <f>IF('Small Signal'!$B$37&gt;=1,Q37+0,N37+0)</f>
        <v>23.13786050890255</v>
      </c>
      <c r="J37" s="229">
        <f>IF('Small Signal'!$B$37&gt;=1,R37,O37)</f>
        <v>-0.18926259838768417</v>
      </c>
      <c r="K37" s="229">
        <f>IF('Small Signal'!$B$37&gt;=1,Z37+0,W37+0)</f>
        <v>63.090971486723035</v>
      </c>
      <c r="L37" s="229">
        <f>IF('Small Signal'!$B$37&gt;=1,AA37,X37)</f>
        <v>128.5099436684636</v>
      </c>
      <c r="M37" s="229" t="str">
        <f>IMDIV(IMSUM('Small Signal'!$B$2*'Small Signal'!$B$16*'Small Signal'!$B$38,IMPRODUCT(H37,'Small Signal'!$B$2*'Small Signal'!$B$16*'Small Signal'!$B$38*'Small Signal'!$B$13*'Small Signal'!$B$14)),IMSUM(IMPRODUCT('Small Signal'!$B$11*'Small Signal'!$B$13*('Small Signal'!$B$14+'Small Signal'!$B$16),IMPOWER(H37,2)),IMSUM(IMPRODUCT(H37,('Small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14.3512806025592-0.0474061189023567i</v>
      </c>
      <c r="N37" s="229">
        <f t="shared" si="2"/>
        <v>23.13786050890255</v>
      </c>
      <c r="O37" s="229">
        <f t="shared" si="3"/>
        <v>-0.18926259838768417</v>
      </c>
      <c r="P37" s="229" t="str">
        <f>IMDIV(IMSUM('Small Signal'!$B$48,IMPRODUCT(H37,'Small Signal'!$B$49)),IMSUM(IMPRODUCT('Small Signal'!$B$52,IMPOWER(H37,2)),IMSUM(IMPRODUCT(H37,'Small Signal'!$B$51),'Small Signal'!$B$50)))</f>
        <v>42.0783280695762-0.152236532639552i</v>
      </c>
      <c r="Q37" s="229">
        <f t="shared" si="4"/>
        <v>32.481226352978105</v>
      </c>
      <c r="R37" s="229">
        <f t="shared" si="5"/>
        <v>-0.20729133382524614</v>
      </c>
      <c r="S37" s="229" t="str">
        <f>IMPRODUCT(IMDIV(IMSUM(IMPRODUCT(H37,'Small Signal'!$B$33*'Small Signal'!$B$6*'Small Signal'!$B$27*'Small Signal'!$B$7*'Small Signal'!$B$8),'Small Signal'!$B$33*'Small Signal'!$B$6*'Small Signal'!$B$27),IMSUM(IMSUM(IMPRODUCT(H37,('Small Signal'!$B$5+'Small Signal'!$B$6)*('Small Signal'!$B$32*'Small Signal'!$B$33)+'Small Signal'!$B$5*'Small Signal'!$B$33*('Small Signal'!$B$8+'Small Signal'!$B$9)+'Small Signal'!$B$6*'Small Signal'!$B$33*('Small Signal'!$B$8+'Small Signal'!$B$9)+'Small Signal'!$B$7*'Small Signal'!$B$8*('Small Signal'!$B$5+'Small Signal'!$B$6)),'Small Signal'!$B$6+'Small Signal'!$B$5),IMPRODUCT(IMPOWER(H37,2),'Small Signal'!$B$32*'Small Signal'!$B$33*'Small Signal'!$B$8*'Small Signal'!$B$7*('Small Signal'!$B$5+'Small Signal'!$B$6)+('Small Signal'!$B$5+'Small Signal'!$B$6)*('Small Signal'!$B$9*'Small Signal'!$B$8*'Small Signal'!$B$33*'Small Signal'!$B$7)))),-1)</f>
        <v>-62.1865750610824+77.6237377305047i</v>
      </c>
      <c r="T37" s="229">
        <f t="shared" si="6"/>
        <v>39.953110977820494</v>
      </c>
      <c r="U37" s="229">
        <f t="shared" si="7"/>
        <v>128.69920626685123</v>
      </c>
      <c r="V37" s="229" t="str">
        <f t="shared" si="8"/>
        <v>-888.777148273206+1116.94806576141i</v>
      </c>
      <c r="W37" s="226">
        <f t="shared" si="9"/>
        <v>63.090971486723035</v>
      </c>
      <c r="X37" s="229">
        <f t="shared" si="10"/>
        <v>128.5099436684636</v>
      </c>
      <c r="Y37" s="229" t="str">
        <f t="shared" si="11"/>
        <v>-2604.88993826094+3275.74417077495i</v>
      </c>
      <c r="Z37" s="226">
        <f t="shared" si="12"/>
        <v>72.43433733079861</v>
      </c>
      <c r="AA37" s="229">
        <f t="shared" si="13"/>
        <v>128.49191493302598</v>
      </c>
    </row>
    <row r="38" spans="1:27" ht="12.75">
      <c r="A38" s="31" t="s">
        <v>25</v>
      </c>
      <c r="B38" s="13">
        <f>1*B10/(B39+B31)</f>
        <v>7.47832983966914</v>
      </c>
      <c r="F38" s="78">
        <v>36</v>
      </c>
      <c r="G38" s="229">
        <f>10^('Small Signal'!F38/30)</f>
        <v>15.848931924611136</v>
      </c>
      <c r="H38" s="229" t="str">
        <f t="shared" si="1"/>
        <v>99.5817762032062i</v>
      </c>
      <c r="I38" s="229">
        <f>IF('Small Signal'!$B$37&gt;=1,Q38+0,N38+0)</f>
        <v>23.137852999946865</v>
      </c>
      <c r="J38" s="229">
        <f>IF('Small Signal'!$B$37&gt;=1,R38,O38)</f>
        <v>-0.20436093792151436</v>
      </c>
      <c r="K38" s="229">
        <f>IF('Small Signal'!$B$37&gt;=1,Z38+0,W38+0)</f>
        <v>62.67034028479819</v>
      </c>
      <c r="L38" s="229">
        <f>IF('Small Signal'!$B$37&gt;=1,AA38,X38)</f>
        <v>126.39152189366847</v>
      </c>
      <c r="M38" s="229" t="str">
        <f>IMDIV(IMSUM('Small Signal'!$B$2*'Small Signal'!$B$16*'Small Signal'!$B$38,IMPRODUCT(H38,'Small Signal'!$B$2*'Small Signal'!$B$16*'Small Signal'!$B$38*'Small Signal'!$B$13*'Small Signal'!$B$14)),IMSUM(IMPRODUCT('Small Signal'!$B$11*'Small Signal'!$B$13*('Small Signal'!$B$14+'Small Signal'!$B$16),IMPOWER(H38,2)),IMSUM(IMPRODUCT(H38,('Small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14.3512552053484-0.0511878612376607i</v>
      </c>
      <c r="N38" s="229">
        <f t="shared" si="2"/>
        <v>23.137852999946865</v>
      </c>
      <c r="O38" s="229">
        <f t="shared" si="3"/>
        <v>-0.20436093792151436</v>
      </c>
      <c r="P38" s="229" t="str">
        <f>IMDIV(IMSUM('Small Signal'!$B$48,IMPRODUCT(H38,'Small Signal'!$B$49)),IMSUM(IMPRODUCT('Small Signal'!$B$52,IMPOWER(H38,2)),IMSUM(IMPRODUCT(H38,'Small Signal'!$B$51),'Small Signal'!$B$50)))</f>
        <v>42.0782527961985-0.164380995845483i</v>
      </c>
      <c r="Q38" s="229">
        <f t="shared" si="4"/>
        <v>32.481220246488995</v>
      </c>
      <c r="R38" s="229">
        <f t="shared" si="5"/>
        <v>-0.22382795760424648</v>
      </c>
      <c r="S38" s="229" t="str">
        <f>IMPRODUCT(IMDIV(IMSUM(IMPRODUCT(H38,'Small Signal'!$B$33*'Small Signal'!$B$6*'Small Signal'!$B$27*'Small Signal'!$B$7*'Small Signal'!$B$8),'Small Signal'!$B$33*'Small Signal'!$B$6*'Small Signal'!$B$27),IMSUM(IMSUM(IMPRODUCT(H38,('Small Signal'!$B$5+'Small Signal'!$B$6)*('Small Signal'!$B$32*'Small Signal'!$B$33)+'Small Signal'!$B$5*'Small Signal'!$B$33*('Small Signal'!$B$8+'Small Signal'!$B$9)+'Small Signal'!$B$6*'Small Signal'!$B$33*('Small Signal'!$B$8+'Small Signal'!$B$9)+'Small Signal'!$B$7*'Small Signal'!$B$8*('Small Signal'!$B$5+'Small Signal'!$B$6)),'Small Signal'!$B$6+'Small Signal'!$B$5),IMPRODUCT(IMPOWER(H38,2),'Small Signal'!$B$32*'Small Signal'!$B$33*'Small Signal'!$B$8*'Small Signal'!$B$7*('Small Signal'!$B$5+'Small Signal'!$B$6)+('Small Signal'!$B$5+'Small Signal'!$B$6)*('Small Signal'!$B$9*'Small Signal'!$B$8*'Small Signal'!$B$33*'Small Signal'!$B$7)))),-1)</f>
        <v>-56.492712929021+76.0789231244045i</v>
      </c>
      <c r="T38" s="229">
        <f t="shared" si="6"/>
        <v>39.53248728485133</v>
      </c>
      <c r="U38" s="229">
        <f t="shared" si="7"/>
        <v>126.59588283158995</v>
      </c>
      <c r="V38" s="229" t="str">
        <f t="shared" si="8"/>
        <v>-806.847023126863+1094.71978265676i</v>
      </c>
      <c r="W38" s="226">
        <f t="shared" si="9"/>
        <v>62.67034028479819</v>
      </c>
      <c r="X38" s="229">
        <f t="shared" si="10"/>
        <v>126.39152189366847</v>
      </c>
      <c r="Y38" s="229" t="str">
        <f t="shared" si="11"/>
        <v>-2364.60872662438+3210.55448810053i</v>
      </c>
      <c r="Z38" s="226">
        <f t="shared" si="12"/>
        <v>72.01370753134033</v>
      </c>
      <c r="AA38" s="229">
        <f t="shared" si="13"/>
        <v>126.37205487398575</v>
      </c>
    </row>
    <row r="39" spans="1:27" ht="12.75">
      <c r="A39" s="31" t="s">
        <v>58</v>
      </c>
      <c r="B39" s="15">
        <f>B30*((B2-B3)/B11)</f>
        <v>80181.81818181819</v>
      </c>
      <c r="F39" s="78">
        <v>37</v>
      </c>
      <c r="G39" s="229">
        <f>10^('Small Signal'!F39/30)</f>
        <v>17.113283041617812</v>
      </c>
      <c r="H39" s="229" t="str">
        <f t="shared" si="1"/>
        <v>107.525928564699i</v>
      </c>
      <c r="I39" s="229">
        <f>IF('Small Signal'!$B$37&gt;=1,Q39+0,N39+0)</f>
        <v>23.137844245163606</v>
      </c>
      <c r="J39" s="229">
        <f>IF('Small Signal'!$B$37&gt;=1,R39,O39)</f>
        <v>-0.2206637201728827</v>
      </c>
      <c r="K39" s="229">
        <f>IF('Small Signal'!$B$37&gt;=1,Z39+0,W39+0)</f>
        <v>62.226405076988925</v>
      </c>
      <c r="L39" s="229">
        <f>IF('Small Signal'!$B$37&gt;=1,AA39,X39)</f>
        <v>124.32116221362433</v>
      </c>
      <c r="M39" s="229" t="str">
        <f>IMDIV(IMSUM('Small Signal'!$B$2*'Small Signal'!$B$16*'Small Signal'!$B$38,IMPRODUCT(H39,'Small Signal'!$B$2*'Small Signal'!$B$16*'Small Signal'!$B$38*'Small Signal'!$B$13*'Small Signal'!$B$14)),IMSUM(IMPRODUCT('Small Signal'!$B$11*'Small Signal'!$B$13*('Small Signal'!$B$14+'Small Signal'!$B$16),IMPOWER(H39,2)),IMSUM(IMPRODUCT(H39,('Small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14.3512255944853-0.055271269768339i</v>
      </c>
      <c r="N39" s="229">
        <f t="shared" si="2"/>
        <v>23.137844245163606</v>
      </c>
      <c r="O39" s="229">
        <f t="shared" si="3"/>
        <v>-0.2206637201728827</v>
      </c>
      <c r="P39" s="229" t="str">
        <f>IMDIV(IMSUM('Small Signal'!$B$48,IMPRODUCT(H39,'Small Signal'!$B$49)),IMSUM(IMPRODUCT('Small Signal'!$B$52,IMPOWER(H39,2)),IMSUM(IMPRODUCT(H39,'Small Signal'!$B$51),'Small Signal'!$B$50)))</f>
        <v>42.0781650341346-0.177494225790615i</v>
      </c>
      <c r="Q39" s="229">
        <f t="shared" si="4"/>
        <v>32.481213126854605</v>
      </c>
      <c r="R39" s="229">
        <f t="shared" si="5"/>
        <v>-0.2416837735446564</v>
      </c>
      <c r="S39" s="229" t="str">
        <f>IMPRODUCT(IMDIV(IMSUM(IMPRODUCT(H39,'Small Signal'!$B$33*'Small Signal'!$B$6*'Small Signal'!$B$27*'Small Signal'!$B$7*'Small Signal'!$B$8),'Small Signal'!$B$33*'Small Signal'!$B$6*'Small Signal'!$B$27),IMSUM(IMSUM(IMPRODUCT(H39,('Small Signal'!$B$5+'Small Signal'!$B$6)*('Small Signal'!$B$32*'Small Signal'!$B$33)+'Small Signal'!$B$5*'Small Signal'!$B$33*('Small Signal'!$B$8+'Small Signal'!$B$9)+'Small Signal'!$B$6*'Small Signal'!$B$33*('Small Signal'!$B$8+'Small Signal'!$B$9)+'Small Signal'!$B$7*'Small Signal'!$B$8*('Small Signal'!$B$5+'Small Signal'!$B$6)),'Small Signal'!$B$6+'Small Signal'!$B$5),IMPRODUCT(IMPOWER(H39,2),'Small Signal'!$B$32*'Small Signal'!$B$33*'Small Signal'!$B$8*'Small Signal'!$B$7*('Small Signal'!$B$5+'Small Signal'!$B$6)+('Small Signal'!$B$5+'Small Signal'!$B$6)*('Small Signal'!$B$9*'Small Signal'!$B$8*'Small Signal'!$B$33*'Small Signal'!$B$7)))),-1)</f>
        <v>-51.052497996717+74.1658014416006i</v>
      </c>
      <c r="T39" s="229">
        <f t="shared" si="6"/>
        <v>39.088560831825305</v>
      </c>
      <c r="U39" s="229">
        <f t="shared" si="7"/>
        <v>124.54182593379727</v>
      </c>
      <c r="V39" s="229" t="str">
        <f t="shared" si="8"/>
        <v>-728.566677893831+1067.19188427334i</v>
      </c>
      <c r="W39" s="226">
        <f t="shared" si="9"/>
        <v>62.226405076988925</v>
      </c>
      <c r="X39" s="229">
        <f t="shared" si="10"/>
        <v>124.32116221362433</v>
      </c>
      <c r="Y39" s="229" t="str">
        <f t="shared" si="11"/>
        <v>-2135.03143460367+3129.82235655513i</v>
      </c>
      <c r="Z39" s="226">
        <f t="shared" si="12"/>
        <v>71.5697739586799</v>
      </c>
      <c r="AA39" s="229">
        <f t="shared" si="13"/>
        <v>124.30014216025269</v>
      </c>
    </row>
    <row r="40" spans="6:27" ht="12.75">
      <c r="F40" s="78">
        <v>38</v>
      </c>
      <c r="G40" s="229">
        <f>10^('Small Signal'!F40/30)</f>
        <v>18.47849797422291</v>
      </c>
      <c r="H40" s="229" t="str">
        <f t="shared" si="1"/>
        <v>116.103826970385i</v>
      </c>
      <c r="I40" s="229">
        <f>IF('Small Signal'!$B$37&gt;=1,Q40+0,N40+0)</f>
        <v>23.13783403785798</v>
      </c>
      <c r="J40" s="229">
        <f>IF('Small Signal'!$B$37&gt;=1,R40,O40)</f>
        <v>-0.23826702204712458</v>
      </c>
      <c r="K40" s="229">
        <f>IF('Small Signal'!$B$37&gt;=1,Z40+0,W40+0)</f>
        <v>61.76032036385066</v>
      </c>
      <c r="L40" s="229">
        <f>IF('Small Signal'!$B$37&gt;=1,AA40,X40)</f>
        <v>122.30839018783982</v>
      </c>
      <c r="M40" s="229" t="str">
        <f>IMDIV(IMSUM('Small Signal'!$B$2*'Small Signal'!$B$16*'Small Signal'!$B$38,IMPRODUCT(H40,'Small Signal'!$B$2*'Small Signal'!$B$16*'Small Signal'!$B$38*'Small Signal'!$B$13*'Small Signal'!$B$14)),IMSUM(IMPRODUCT('Small Signal'!$B$11*'Small Signal'!$B$13*('Small Signal'!$B$14+'Small Signal'!$B$16),IMPOWER(H40,2)),IMSUM(IMPRODUCT(H40,('Small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14.3511910709042-0.0596804040314537i</v>
      </c>
      <c r="N40" s="229">
        <f t="shared" si="2"/>
        <v>23.13783403785798</v>
      </c>
      <c r="O40" s="229">
        <f t="shared" si="3"/>
        <v>-0.23826702204712458</v>
      </c>
      <c r="P40" s="229" t="str">
        <f>IMDIV(IMSUM('Small Signal'!$B$48,IMPRODUCT(H40,'Small Signal'!$B$49)),IMSUM(IMPRODUCT('Small Signal'!$B$52,IMPOWER(H40,2)),IMSUM(IMPRODUCT(H40,'Small Signal'!$B$51),'Small Signal'!$B$50)))</f>
        <v>42.0780627114219-0.191653490519494i</v>
      </c>
      <c r="Q40" s="229">
        <f t="shared" si="4"/>
        <v>32.481204825982836</v>
      </c>
      <c r="R40" s="229">
        <f t="shared" si="5"/>
        <v>-0.26096401531843655</v>
      </c>
      <c r="S40" s="229" t="str">
        <f>IMPRODUCT(IMDIV(IMSUM(IMPRODUCT(H40,'Small Signal'!$B$33*'Small Signal'!$B$6*'Small Signal'!$B$27*'Small Signal'!$B$7*'Small Signal'!$B$8),'Small Signal'!$B$33*'Small Signal'!$B$6*'Small Signal'!$B$27),IMSUM(IMSUM(IMPRODUCT(H40,('Small Signal'!$B$5+'Small Signal'!$B$6)*('Small Signal'!$B$32*'Small Signal'!$B$33)+'Small Signal'!$B$5*'Small Signal'!$B$33*('Small Signal'!$B$8+'Small Signal'!$B$9)+'Small Signal'!$B$6*'Small Signal'!$B$33*('Small Signal'!$B$8+'Small Signal'!$B$9)+'Small Signal'!$B$7*'Small Signal'!$B$8*('Small Signal'!$B$5+'Small Signal'!$B$6)),'Small Signal'!$B$6+'Small Signal'!$B$5),IMPRODUCT(IMPOWER(H40,2),'Small Signal'!$B$32*'Small Signal'!$B$33*'Small Signal'!$B$8*'Small Signal'!$B$7*('Small Signal'!$B$5+'Small Signal'!$B$6)+('Small Signal'!$B$5+'Small Signal'!$B$6)*('Small Signal'!$B$9*'Small Signal'!$B$8*'Small Signal'!$B$33*'Small Signal'!$B$7)))),-1)</f>
        <v>-45.9087502029953+71.9329716876818i</v>
      </c>
      <c r="T40" s="229">
        <f t="shared" si="6"/>
        <v>38.62248632599266</v>
      </c>
      <c r="U40" s="229">
        <f t="shared" si="7"/>
        <v>122.54665720988699</v>
      </c>
      <c r="V40" s="229" t="str">
        <f t="shared" si="8"/>
        <v>-654.552257176094+1035.06367374856i</v>
      </c>
      <c r="W40" s="226">
        <f t="shared" si="9"/>
        <v>61.76032036385066</v>
      </c>
      <c r="X40" s="229">
        <f t="shared" si="10"/>
        <v>122.30839018783982</v>
      </c>
      <c r="Y40" s="229" t="str">
        <f t="shared" si="11"/>
        <v>-1917.96506493725+3035.598665915i</v>
      </c>
      <c r="Z40" s="226">
        <f t="shared" si="12"/>
        <v>71.10369115197548</v>
      </c>
      <c r="AA40" s="229">
        <f t="shared" si="13"/>
        <v>122.2856931945685</v>
      </c>
    </row>
    <row r="41" spans="1:27" ht="12.75">
      <c r="A41" s="91" t="s">
        <v>46</v>
      </c>
      <c r="B41" s="89">
        <f>B3/B4</f>
        <v>1.4285714285714286</v>
      </c>
      <c r="F41" s="78">
        <v>39</v>
      </c>
      <c r="G41" s="229">
        <f>10^('Small Signal'!F41/30)</f>
        <v>19.952623149688804</v>
      </c>
      <c r="H41" s="229" t="str">
        <f t="shared" si="1"/>
        <v>125.366028613816i</v>
      </c>
      <c r="I41" s="229">
        <f>IF('Small Signal'!$B$37&gt;=1,Q41+0,N41+0)</f>
        <v>23.13782213704361</v>
      </c>
      <c r="J41" s="229">
        <f>IF('Small Signal'!$B$37&gt;=1,R41,O41)</f>
        <v>-0.25727458300458284</v>
      </c>
      <c r="K41" s="229">
        <f>IF('Small Signal'!$B$37&gt;=1,Z41+0,W41+0)</f>
        <v>61.27339677165033</v>
      </c>
      <c r="L41" s="229">
        <f>IF('Small Signal'!$B$37&gt;=1,AA41,X41)</f>
        <v>120.36132547899714</v>
      </c>
      <c r="M41" s="229" t="str">
        <f>IMDIV(IMSUM('Small Signal'!$B$2*'Small Signal'!$B$16*'Small Signal'!$B$38,IMPRODUCT(H41,'Small Signal'!$B$2*'Small Signal'!$B$16*'Small Signal'!$B$38*'Small Signal'!$B$13*'Small Signal'!$B$14)),IMSUM(IMPRODUCT('Small Signal'!$B$11*'Small Signal'!$B$13*('Small Signal'!$B$14+'Small Signal'!$B$16),IMPOWER(H41,2)),IMSUM(IMPRODUCT(H41,('Small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14.3511508195686-0.0644412413815223i</v>
      </c>
      <c r="N41" s="229">
        <f t="shared" si="2"/>
        <v>23.13782213704361</v>
      </c>
      <c r="O41" s="229">
        <f t="shared" si="3"/>
        <v>-0.25727458300458284</v>
      </c>
      <c r="P41" s="229" t="str">
        <f>IMDIV(IMSUM('Small Signal'!$B$48,IMPRODUCT(H41,'Small Signal'!$B$49)),IMSUM(IMPRODUCT('Small Signal'!$B$52,IMPOWER(H41,2)),IMSUM(IMPRODUCT(H41,'Small Signal'!$B$51),'Small Signal'!$B$50)))</f>
        <v>42.0779434123613-0.206942218139653i</v>
      </c>
      <c r="Q41" s="229">
        <f t="shared" si="4"/>
        <v>32.48119514789381</v>
      </c>
      <c r="R41" s="229">
        <f t="shared" si="5"/>
        <v>-0.2817823103111478</v>
      </c>
      <c r="S41" s="229" t="str">
        <f>IMPRODUCT(IMDIV(IMSUM(IMPRODUCT(H41,'Small Signal'!$B$33*'Small Signal'!$B$6*'Small Signal'!$B$27*'Small Signal'!$B$7*'Small Signal'!$B$8),'Small Signal'!$B$33*'Small Signal'!$B$6*'Small Signal'!$B$27),IMSUM(IMSUM(IMPRODUCT(H41,('Small Signal'!$B$5+'Small Signal'!$B$6)*('Small Signal'!$B$32*'Small Signal'!$B$33)+'Small Signal'!$B$5*'Small Signal'!$B$33*('Small Signal'!$B$8+'Small Signal'!$B$9)+'Small Signal'!$B$6*'Small Signal'!$B$33*('Small Signal'!$B$8+'Small Signal'!$B$9)+'Small Signal'!$B$7*'Small Signal'!$B$8*('Small Signal'!$B$5+'Small Signal'!$B$6)),'Small Signal'!$B$6+'Small Signal'!$B$5),IMPRODUCT(IMPOWER(H41,2),'Small Signal'!$B$32*'Small Signal'!$B$33*'Small Signal'!$B$8*'Small Signal'!$B$7*('Small Signal'!$B$5+'Small Signal'!$B$6)+('Small Signal'!$B$5+'Small Signal'!$B$6)*('Small Signal'!$B$9*'Small Signal'!$B$8*'Small Signal'!$B$33*'Small Signal'!$B$7)))),-1)</f>
        <v>-41.0932183598831+69.4333837360664i</v>
      </c>
      <c r="T41" s="229">
        <f t="shared" si="6"/>
        <v>38.135574634606726</v>
      </c>
      <c r="U41" s="229">
        <f t="shared" si="7"/>
        <v>120.61860006200172</v>
      </c>
      <c r="V41" s="229" t="str">
        <f t="shared" si="8"/>
        <v>-585.260600902876+999.097059912743i</v>
      </c>
      <c r="W41" s="226">
        <f t="shared" si="9"/>
        <v>61.27339677165033</v>
      </c>
      <c r="X41" s="229">
        <f t="shared" si="10"/>
        <v>120.36132547899714</v>
      </c>
      <c r="Y41" s="229" t="str">
        <f t="shared" si="11"/>
        <v>-1714.74941833568+2930.11791353286i</v>
      </c>
      <c r="Z41" s="226">
        <f t="shared" si="12"/>
        <v>70.61676978250051</v>
      </c>
      <c r="AA41" s="229">
        <f t="shared" si="13"/>
        <v>120.33681775169052</v>
      </c>
    </row>
    <row r="42" spans="1:27" ht="12.75">
      <c r="A42" s="91" t="s">
        <v>73</v>
      </c>
      <c r="B42" s="89">
        <f>(B3*B4*B11*2*B10/(B2*(B2-B3)))^0.5</f>
        <v>1.3486226561878116</v>
      </c>
      <c r="F42" s="78">
        <v>40</v>
      </c>
      <c r="G42" s="229">
        <f>10^('Small Signal'!F42/30)</f>
        <v>21.544346900318843</v>
      </c>
      <c r="H42" s="229" t="str">
        <f t="shared" si="1"/>
        <v>135.367123896863i</v>
      </c>
      <c r="I42" s="229">
        <f>IF('Small Signal'!$B$37&gt;=1,Q42+0,N42+0)</f>
        <v>23.13780826175382</v>
      </c>
      <c r="J42" s="229">
        <f>IF('Small Signal'!$B$37&gt;=1,R42,O42)</f>
        <v>-0.27779841582546017</v>
      </c>
      <c r="K42" s="229">
        <f>IF('Small Signal'!$B$37&gt;=1,Z42+0,W42+0)</f>
        <v>60.76705444009127</v>
      </c>
      <c r="L42" s="229">
        <f>IF('Small Signal'!$B$37&gt;=1,AA42,X42)</f>
        <v>118.48659966451748</v>
      </c>
      <c r="M42" s="229" t="str">
        <f>IMDIV(IMSUM('Small Signal'!$B$2*'Small Signal'!$B$16*'Small Signal'!$B$38,IMPRODUCT(H42,'Small Signal'!$B$2*'Small Signal'!$B$16*'Small Signal'!$B$38*'Small Signal'!$B$13*'Small Signal'!$B$14)),IMSUM(IMPRODUCT('Small Signal'!$B$11*'Small Signal'!$B$13*('Small Signal'!$B$14+'Small Signal'!$B$16),IMPOWER(H42,2)),IMSUM(IMPRODUCT(H42,('Small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14.351103890235-0.0695818295870418i</v>
      </c>
      <c r="N42" s="229">
        <f t="shared" si="2"/>
        <v>23.13780826175382</v>
      </c>
      <c r="O42" s="229">
        <f t="shared" si="3"/>
        <v>-0.27779841582546017</v>
      </c>
      <c r="P42" s="229" t="str">
        <f>IMDIV(IMSUM('Small Signal'!$B$48,IMPRODUCT(H42,'Small Signal'!$B$49)),IMSUM(IMPRODUCT('Small Signal'!$B$52,IMPOWER(H42,2)),IMSUM(IMPRODUCT(H42,'Small Signal'!$B$51),'Small Signal'!$B$50)))</f>
        <v>42.0778043204989-0.223450487203991i</v>
      </c>
      <c r="Q42" s="229">
        <f t="shared" si="4"/>
        <v>32.48118386409341</v>
      </c>
      <c r="R42" s="229">
        <f t="shared" si="5"/>
        <v>-0.3042613488901247</v>
      </c>
      <c r="S42" s="229" t="str">
        <f>IMPRODUCT(IMDIV(IMSUM(IMPRODUCT(H42,'Small Signal'!$B$33*'Small Signal'!$B$6*'Small Signal'!$B$27*'Small Signal'!$B$7*'Small Signal'!$B$8),'Small Signal'!$B$33*'Small Signal'!$B$6*'Small Signal'!$B$27),IMSUM(IMSUM(IMPRODUCT(H42,('Small Signal'!$B$5+'Small Signal'!$B$6)*('Small Signal'!$B$32*'Small Signal'!$B$33)+'Small Signal'!$B$5*'Small Signal'!$B$33*('Small Signal'!$B$8+'Small Signal'!$B$9)+'Small Signal'!$B$6*'Small Signal'!$B$33*('Small Signal'!$B$8+'Small Signal'!$B$9)+'Small Signal'!$B$7*'Small Signal'!$B$8*('Small Signal'!$B$5+'Small Signal'!$B$6)),'Small Signal'!$B$6+'Small Signal'!$B$5),IMPRODUCT(IMPOWER(H42,2),'Small Signal'!$B$32*'Small Signal'!$B$33*'Small Signal'!$B$8*'Small Signal'!$B$7*('Small Signal'!$B$5+'Small Signal'!$B$6)+('Small Signal'!$B$5+'Small Signal'!$B$6)*('Small Signal'!$B$9*'Small Signal'!$B$8*'Small Signal'!$B$33*'Small Signal'!$B$7)))),-1)</f>
        <v>-36.6265584814436+66.7216346370819i</v>
      </c>
      <c r="T42" s="229">
        <f t="shared" si="6"/>
        <v>37.62924617833745</v>
      </c>
      <c r="U42" s="229">
        <f t="shared" si="7"/>
        <v>118.76439808034293</v>
      </c>
      <c r="V42" s="229" t="str">
        <f t="shared" si="8"/>
        <v>-520.988932497879+960.07765335368i</v>
      </c>
      <c r="W42" s="226">
        <f t="shared" si="9"/>
        <v>60.76705444009127</v>
      </c>
      <c r="X42" s="229">
        <f t="shared" si="10"/>
        <v>118.48659966451748</v>
      </c>
      <c r="Y42" s="229" t="str">
        <f t="shared" si="11"/>
        <v>-1526.25617894879+2815.68410854024i</v>
      </c>
      <c r="Z42" s="226">
        <f t="shared" si="12"/>
        <v>70.11043004243086</v>
      </c>
      <c r="AA42" s="229">
        <f t="shared" si="13"/>
        <v>118.46013673145278</v>
      </c>
    </row>
    <row r="43" spans="1:27" ht="12.75">
      <c r="A43" s="91" t="s">
        <v>72</v>
      </c>
      <c r="B43" s="90">
        <f>(2*B4/B42)*B41*B41*(1-(B3/B2))/(B41*(1-(B3/B2))+B41+B12)</f>
        <v>2.700787160995675</v>
      </c>
      <c r="F43" s="78">
        <v>41</v>
      </c>
      <c r="G43" s="229">
        <f>10^('Small Signal'!F43/30)</f>
        <v>23.263050671536273</v>
      </c>
      <c r="H43" s="229" t="str">
        <f t="shared" si="1"/>
        <v>146.166058179571i</v>
      </c>
      <c r="I43" s="229">
        <f>IF('Small Signal'!$B$37&gt;=1,Q43+0,N43+0)</f>
        <v>23.137792084409597</v>
      </c>
      <c r="J43" s="229">
        <f>IF('Small Signal'!$B$37&gt;=1,R43,O43)</f>
        <v>-0.29995946596477085</v>
      </c>
      <c r="K43" s="229">
        <f>IF('Small Signal'!$B$37&gt;=1,Z43+0,W43+0)</f>
        <v>60.24277776765732</v>
      </c>
      <c r="L43" s="229">
        <f>IF('Small Signal'!$B$37&gt;=1,AA43,X43)</f>
        <v>116.68934510734682</v>
      </c>
      <c r="M43" s="229" t="str">
        <f>IMDIV(IMSUM('Small Signal'!$B$2*'Small Signal'!$B$16*'Small Signal'!$B$38,IMPRODUCT(H43,'Small Signal'!$B$2*'Small Signal'!$B$16*'Small Signal'!$B$38*'Small Signal'!$B$13*'Small Signal'!$B$14)),IMSUM(IMPRODUCT('Small Signal'!$B$11*'Small Signal'!$B$13*('Small Signal'!$B$14+'Small Signal'!$B$16),IMPOWER(H43,2)),IMSUM(IMPRODUCT(H43,('Small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14.3510491750276-0.0751324514974825i</v>
      </c>
      <c r="N43" s="229">
        <f t="shared" si="2"/>
        <v>23.137792084409597</v>
      </c>
      <c r="O43" s="229">
        <f t="shared" si="3"/>
        <v>-0.29995946596477085</v>
      </c>
      <c r="P43" s="229" t="str">
        <f>IMDIV(IMSUM('Small Signal'!$B$48,IMPRODUCT(H43,'Small Signal'!$B$49)),IMSUM(IMPRODUCT('Small Signal'!$B$52,IMPOWER(H43,2)),IMSUM(IMPRODUCT(H43,'Small Signal'!$B$51),'Small Signal'!$B$50)))</f>
        <v>42.0776421521507-0.241275555944864i</v>
      </c>
      <c r="Q43" s="229">
        <f t="shared" si="4"/>
        <v>32.48117070817934</v>
      </c>
      <c r="R43" s="229">
        <f t="shared" si="5"/>
        <v>-0.32853360697518263</v>
      </c>
      <c r="S43" s="229" t="str">
        <f>IMPRODUCT(IMDIV(IMSUM(IMPRODUCT(H43,'Small Signal'!$B$33*'Small Signal'!$B$6*'Small Signal'!$B$27*'Small Signal'!$B$7*'Small Signal'!$B$8),'Small Signal'!$B$33*'Small Signal'!$B$6*'Small Signal'!$B$27),IMSUM(IMSUM(IMPRODUCT(H43,('Small Signal'!$B$5+'Small Signal'!$B$6)*('Small Signal'!$B$32*'Small Signal'!$B$33)+'Small Signal'!$B$5*'Small Signal'!$B$33*('Small Signal'!$B$8+'Small Signal'!$B$9)+'Small Signal'!$B$6*'Small Signal'!$B$33*('Small Signal'!$B$8+'Small Signal'!$B$9)+'Small Signal'!$B$7*'Small Signal'!$B$8*('Small Signal'!$B$5+'Small Signal'!$B$6)),'Small Signal'!$B$6+'Small Signal'!$B$5),IMPRODUCT(IMPOWER(H43,2),'Small Signal'!$B$32*'Small Signal'!$B$33*'Small Signal'!$B$8*'Small Signal'!$B$7*('Small Signal'!$B$5+'Small Signal'!$B$6)+('Small Signal'!$B$5+'Small Signal'!$B$6)*('Small Signal'!$B$9*'Small Signal'!$B$8*'Small Signal'!$B$33*'Small Signal'!$B$7)))),-1)</f>
        <v>-32.518979151897+63.8515531819514i</v>
      </c>
      <c r="T43" s="229">
        <f t="shared" si="6"/>
        <v>37.104985683247726</v>
      </c>
      <c r="U43" s="229">
        <f t="shared" si="7"/>
        <v>116.98930457331161</v>
      </c>
      <c r="V43" s="229" t="str">
        <f t="shared" si="8"/>
        <v>-461.884145208089+918.780010239952i</v>
      </c>
      <c r="W43" s="226">
        <f t="shared" si="9"/>
        <v>60.24277776765732</v>
      </c>
      <c r="X43" s="229">
        <f t="shared" si="10"/>
        <v>116.68934510734682</v>
      </c>
      <c r="Y43" s="229" t="str">
        <f t="shared" si="11"/>
        <v>-1352.91614891485+2694.5688404228i</v>
      </c>
      <c r="Z43" s="226">
        <f t="shared" si="12"/>
        <v>69.58615639142705</v>
      </c>
      <c r="AA43" s="229">
        <f t="shared" si="13"/>
        <v>116.66077096633641</v>
      </c>
    </row>
    <row r="44" spans="1:27" ht="12.75">
      <c r="A44" s="91" t="s">
        <v>74</v>
      </c>
      <c r="B44" s="90">
        <f>B11/(B41*(1-(B3/B2))+B41+B12)+B13*(B14+1/((1/(B12+B41*(1-(B3/B2))))+1/B41))</f>
        <v>1.8975589076671893E-05</v>
      </c>
      <c r="F44" s="78">
        <v>42</v>
      </c>
      <c r="G44" s="229">
        <f>10^('Small Signal'!F44/30)</f>
        <v>25.1188643150958</v>
      </c>
      <c r="H44" s="229" t="str">
        <f t="shared" si="1"/>
        <v>157.826479197648i</v>
      </c>
      <c r="I44" s="229">
        <f>IF('Small Signal'!$B$37&gt;=1,Q44+0,N44+0)</f>
        <v>23.137773223086896</v>
      </c>
      <c r="J44" s="229">
        <f>IF('Small Signal'!$B$37&gt;=1,R44,O44)</f>
        <v>-0.3238883233390481</v>
      </c>
      <c r="K44" s="229">
        <f>IF('Small Signal'!$B$37&gt;=1,Z44+0,W44+0)</f>
        <v>59.70207396204821</v>
      </c>
      <c r="L44" s="229">
        <f>IF('Small Signal'!$B$37&gt;=1,AA44,X44)</f>
        <v>114.97324475389087</v>
      </c>
      <c r="M44" s="229" t="str">
        <f>IMDIV(IMSUM('Small Signal'!$B$2*'Small Signal'!$B$16*'Small Signal'!$B$38,IMPRODUCT(H44,'Small Signal'!$B$2*'Small Signal'!$B$16*'Small Signal'!$B$38*'Small Signal'!$B$13*'Small Signal'!$B$14)),IMSUM(IMPRODUCT('Small Signal'!$B$11*'Small Signal'!$B$13*('Small Signal'!$B$14+'Small Signal'!$B$16),IMPOWER(H44,2)),IMSUM(IMPRODUCT(H44,('Small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14.3509853822935-0.0811258027170207i</v>
      </c>
      <c r="N44" s="229">
        <f t="shared" si="2"/>
        <v>23.137773223086896</v>
      </c>
      <c r="O44" s="229">
        <f t="shared" si="3"/>
        <v>-0.3238883233390481</v>
      </c>
      <c r="P44" s="229" t="str">
        <f>IMDIV(IMSUM('Small Signal'!$B$48,IMPRODUCT(H44,'Small Signal'!$B$49)),IMSUM(IMPRODUCT('Small Signal'!$B$52,IMPOWER(H44,2)),IMSUM(IMPRODUCT(H44,'Small Signal'!$B$51),'Small Signal'!$B$50)))</f>
        <v>42.0774530789035-0.260522433389728i</v>
      </c>
      <c r="Q44" s="229">
        <f t="shared" si="4"/>
        <v>32.48115536955225</v>
      </c>
      <c r="R44" s="229">
        <f t="shared" si="5"/>
        <v>-0.35474212614114187</v>
      </c>
      <c r="S44" s="229" t="str">
        <f>IMPRODUCT(IMDIV(IMSUM(IMPRODUCT(H44,'Small Signal'!$B$33*'Small Signal'!$B$6*'Small Signal'!$B$27*'Small Signal'!$B$7*'Small Signal'!$B$8),'Small Signal'!$B$33*'Small Signal'!$B$6*'Small Signal'!$B$27),IMSUM(IMSUM(IMPRODUCT(H44,('Small Signal'!$B$5+'Small Signal'!$B$6)*('Small Signal'!$B$32*'Small Signal'!$B$33)+'Small Signal'!$B$5*'Small Signal'!$B$33*('Small Signal'!$B$8+'Small Signal'!$B$9)+'Small Signal'!$B$6*'Small Signal'!$B$33*('Small Signal'!$B$8+'Small Signal'!$B$9)+'Small Signal'!$B$7*'Small Signal'!$B$8*('Small Signal'!$B$5+'Small Signal'!$B$6)),'Small Signal'!$B$6+'Small Signal'!$B$5),IMPRODUCT(IMPOWER(H44,2),'Small Signal'!$B$32*'Small Signal'!$B$33*'Small Signal'!$B$8*'Small Signal'!$B$7*('Small Signal'!$B$5+'Small Signal'!$B$6)+('Small Signal'!$B$5+'Small Signal'!$B$6)*('Small Signal'!$B$9*'Small Signal'!$B$8*'Small Signal'!$B$33*'Small Signal'!$B$7)))),-1)</f>
        <v>-28.7713845218825+60.8742179842641i</v>
      </c>
      <c r="T44" s="229">
        <f t="shared" si="6"/>
        <v>36.564300738961315</v>
      </c>
      <c r="U44" s="229">
        <f t="shared" si="7"/>
        <v>115.29713307722992</v>
      </c>
      <c r="V44" s="229" t="str">
        <f t="shared" si="8"/>
        <v>-407.959248903137+875.93911411534i</v>
      </c>
      <c r="W44" s="226">
        <f t="shared" si="9"/>
        <v>59.70207396204821</v>
      </c>
      <c r="X44" s="229">
        <f t="shared" si="10"/>
        <v>114.97324475389087</v>
      </c>
      <c r="Y44" s="229" t="str">
        <f t="shared" si="11"/>
        <v>-1194.76748283464+2568.92764205545i</v>
      </c>
      <c r="Z44" s="226">
        <f t="shared" si="12"/>
        <v>69.04545610851356</v>
      </c>
      <c r="AA44" s="229">
        <f t="shared" si="13"/>
        <v>114.94239095108868</v>
      </c>
    </row>
    <row r="45" spans="1:27" ht="12.75">
      <c r="A45" s="91" t="s">
        <v>75</v>
      </c>
      <c r="B45" s="90">
        <f>(B11*B13*(B16+B14))/(B41*(1-(B3/B2))+B41+B12)</f>
        <v>1.329563508582053E-10</v>
      </c>
      <c r="F45" s="78">
        <v>43</v>
      </c>
      <c r="G45" s="229">
        <f>10^('Small Signal'!F45/30)</f>
        <v>27.12272579332029</v>
      </c>
      <c r="H45" s="229" t="str">
        <f t="shared" si="1"/>
        <v>170.417112195251i</v>
      </c>
      <c r="I45" s="229">
        <f>IF('Small Signal'!$B$37&gt;=1,Q45+0,N45+0)</f>
        <v>23.13775123250244</v>
      </c>
      <c r="J45" s="229">
        <f>IF('Small Signal'!$B$37&gt;=1,R45,O45)</f>
        <v>-0.34972599068392995</v>
      </c>
      <c r="K45" s="229">
        <f>IF('Small Signal'!$B$37&gt;=1,Z45+0,W45+0)</f>
        <v>59.14643708908202</v>
      </c>
      <c r="L45" s="229">
        <f>IF('Small Signal'!$B$37&gt;=1,AA45,X45)</f>
        <v>113.3406297624304</v>
      </c>
      <c r="M45" s="229" t="str">
        <f>IMDIV(IMSUM('Small Signal'!$B$2*'Small Signal'!$B$16*'Small Signal'!$B$38,IMPRODUCT(H45,'Small Signal'!$B$2*'Small Signal'!$B$16*'Small Signal'!$B$38*'Small Signal'!$B$13*'Small Signal'!$B$14)),IMSUM(IMPRODUCT('Small Signal'!$B$11*'Small Signal'!$B$13*('Small Signal'!$B$14+'Small Signal'!$B$16),IMPOWER(H45,2)),IMSUM(IMPRODUCT(H45,('Small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14.3509110061253-0.0875971832890892i</v>
      </c>
      <c r="N45" s="229">
        <f t="shared" si="2"/>
        <v>23.13775123250244</v>
      </c>
      <c r="O45" s="229">
        <f t="shared" si="3"/>
        <v>-0.34972599068392995</v>
      </c>
      <c r="P45" s="229" t="str">
        <f>IMDIV(IMSUM('Small Signal'!$B$48,IMPRODUCT(H45,'Small Signal'!$B$49)),IMSUM(IMPRODUCT('Small Signal'!$B$52,IMPOWER(H45,2)),IMSUM(IMPRODUCT(H45,'Small Signal'!$B$51),'Small Signal'!$B$50)))</f>
        <v>42.0772326372656-0.281304495611935i</v>
      </c>
      <c r="Q45" s="229">
        <f t="shared" si="4"/>
        <v>32.48113748608385</v>
      </c>
      <c r="R45" s="229">
        <f t="shared" si="5"/>
        <v>-0.3830413558129805</v>
      </c>
      <c r="S45" s="229" t="str">
        <f>IMPRODUCT(IMDIV(IMSUM(IMPRODUCT(H45,'Small Signal'!$B$33*'Small Signal'!$B$6*'Small Signal'!$B$27*'Small Signal'!$B$7*'Small Signal'!$B$8),'Small Signal'!$B$33*'Small Signal'!$B$6*'Small Signal'!$B$27),IMSUM(IMSUM(IMPRODUCT(H45,('Small Signal'!$B$5+'Small Signal'!$B$6)*('Small Signal'!$B$32*'Small Signal'!$B$33)+'Small Signal'!$B$5*'Small Signal'!$B$33*('Small Signal'!$B$8+'Small Signal'!$B$9)+'Small Signal'!$B$6*'Small Signal'!$B$33*('Small Signal'!$B$8+'Small Signal'!$B$9)+'Small Signal'!$B$7*'Small Signal'!$B$8*('Small Signal'!$B$5+'Small Signal'!$B$6)),'Small Signal'!$B$6+'Small Signal'!$B$5),IMPRODUCT(IMPOWER(H45,2),'Small Signal'!$B$32*'Small Signal'!$B$33*'Small Signal'!$B$8*'Small Signal'!$B$7*('Small Signal'!$B$5+'Small Signal'!$B$6)+('Small Signal'!$B$5+'Small Signal'!$B$6)*('Small Signal'!$B$9*'Small Signal'!$B$8*'Small Signal'!$B$33*'Small Signal'!$B$7)))),-1)</f>
        <v>-25.3768290562266+57.836479259086i</v>
      </c>
      <c r="T45" s="229">
        <f t="shared" si="6"/>
        <v>36.00868585657958</v>
      </c>
      <c r="U45" s="229">
        <f t="shared" si="7"/>
        <v>113.69035575311432</v>
      </c>
      <c r="V45" s="229" t="str">
        <f t="shared" si="8"/>
        <v>-359.114302729109+832.229105500889i</v>
      </c>
      <c r="W45" s="226">
        <f t="shared" si="9"/>
        <v>59.14643708908202</v>
      </c>
      <c r="X45" s="229">
        <f t="shared" si="10"/>
        <v>113.3406297624304</v>
      </c>
      <c r="Y45" s="229" t="str">
        <f t="shared" si="11"/>
        <v>-1051.51707816902+2440.73760880284i</v>
      </c>
      <c r="Z45" s="226">
        <f t="shared" si="12"/>
        <v>68.48982334266343</v>
      </c>
      <c r="AA45" s="229">
        <f t="shared" si="13"/>
        <v>113.30731439730133</v>
      </c>
    </row>
    <row r="46" spans="1:27" ht="12.75">
      <c r="A46" s="91" t="s">
        <v>76</v>
      </c>
      <c r="B46" s="90">
        <f>1/(B13*B14)</f>
        <v>6857142.857142857</v>
      </c>
      <c r="F46" s="78">
        <v>44</v>
      </c>
      <c r="G46" s="229">
        <f>10^('Small Signal'!F46/30)</f>
        <v>29.286445646252368</v>
      </c>
      <c r="H46" s="229" t="str">
        <f t="shared" si="1"/>
        <v>184.012164984046i</v>
      </c>
      <c r="I46" s="229">
        <f>IF('Small Signal'!$B$37&gt;=1,Q46+0,N46+0)</f>
        <v>23.13772559350371</v>
      </c>
      <c r="J46" s="229">
        <f>IF('Small Signal'!$B$37&gt;=1,R46,O46)</f>
        <v>-0.3776247129407521</v>
      </c>
      <c r="K46" s="229">
        <f>IF('Small Signal'!$B$37&gt;=1,Z46+0,W46+0)</f>
        <v>58.57731855129299</v>
      </c>
      <c r="L46" s="229">
        <f>IF('Small Signal'!$B$37&gt;=1,AA46,X46)</f>
        <v>111.79261087230073</v>
      </c>
      <c r="M46" s="229" t="str">
        <f>IMDIV(IMSUM('Small Signal'!$B$2*'Small Signal'!$B$16*'Small Signal'!$B$38,IMPRODUCT(H46,'Small Signal'!$B$2*'Small Signal'!$B$16*'Small Signal'!$B$38*'Small Signal'!$B$13*'Small Signal'!$B$14)),IMSUM(IMPRODUCT('Small Signal'!$B$11*'Small Signal'!$B$13*('Small Signal'!$B$14+'Small Signal'!$B$16),IMPOWER(H46,2)),IMSUM(IMPRODUCT(H46,('Small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14.35082429083-0.094584704467238i</v>
      </c>
      <c r="N46" s="229">
        <f t="shared" si="2"/>
        <v>23.13772559350371</v>
      </c>
      <c r="O46" s="229">
        <f t="shared" si="3"/>
        <v>-0.3776247129407521</v>
      </c>
      <c r="P46" s="229" t="str">
        <f>IMDIV(IMSUM('Small Signal'!$B$48,IMPRODUCT(H46,'Small Signal'!$B$49)),IMSUM(IMPRODUCT('Small Signal'!$B$52,IMPOWER(H46,2)),IMSUM(IMPRODUCT(H46,'Small Signal'!$B$51),'Small Signal'!$B$50)))</f>
        <v>42.0769756233384-0.303744150607132i</v>
      </c>
      <c r="Q46" s="229">
        <f t="shared" si="4"/>
        <v>32.481116635569116</v>
      </c>
      <c r="R46" s="229">
        <f t="shared" si="5"/>
        <v>-0.4135980624707325</v>
      </c>
      <c r="S46" s="229" t="str">
        <f>IMPRODUCT(IMDIV(IMSUM(IMPRODUCT(H46,'Small Signal'!$B$33*'Small Signal'!$B$6*'Small Signal'!$B$27*'Small Signal'!$B$7*'Small Signal'!$B$8),'Small Signal'!$B$33*'Small Signal'!$B$6*'Small Signal'!$B$27),IMSUM(IMSUM(IMPRODUCT(H46,('Small Signal'!$B$5+'Small Signal'!$B$6)*('Small Signal'!$B$32*'Small Signal'!$B$33)+'Small Signal'!$B$5*'Small Signal'!$B$33*('Small Signal'!$B$8+'Small Signal'!$B$9)+'Small Signal'!$B$6*'Small Signal'!$B$33*('Small Signal'!$B$8+'Small Signal'!$B$9)+'Small Signal'!$B$7*'Small Signal'!$B$8*('Small Signal'!$B$5+'Small Signal'!$B$6)),'Small Signal'!$B$6+'Small Signal'!$B$5),IMPRODUCT(IMPOWER(H46,2),'Small Signal'!$B$32*'Small Signal'!$B$33*'Small Signal'!$B$8*'Small Signal'!$B$7*('Small Signal'!$B$5+'Small Signal'!$B$6)+('Small Signal'!$B$5+'Small Signal'!$B$6)*('Small Signal'!$B$9*'Small Signal'!$B$8*'Small Signal'!$B$33*'Small Signal'!$B$7)))),-1)</f>
        <v>-22.3221094231412+54.7799884144062i</v>
      </c>
      <c r="T46" s="229">
        <f t="shared" si="6"/>
        <v>35.43959295778927</v>
      </c>
      <c r="U46" s="229">
        <f t="shared" si="7"/>
        <v>112.17023558524147</v>
      </c>
      <c r="V46" s="229" t="str">
        <f t="shared" si="8"/>
        <v>-315.159321117285+788.24931851172i</v>
      </c>
      <c r="W46" s="226">
        <f t="shared" si="9"/>
        <v>58.57731855129299</v>
      </c>
      <c r="X46" s="229">
        <f t="shared" si="10"/>
        <v>111.79261087230073</v>
      </c>
      <c r="Y46" s="229" t="str">
        <f t="shared" si="11"/>
        <v>-922.607753007802+2311.75644732622i</v>
      </c>
      <c r="Z46" s="226">
        <f t="shared" si="12"/>
        <v>67.9207095933584</v>
      </c>
      <c r="AA46" s="229">
        <f t="shared" si="13"/>
        <v>111.75663752277075</v>
      </c>
    </row>
    <row r="47" spans="6:27" ht="12.75">
      <c r="F47" s="78">
        <v>45</v>
      </c>
      <c r="G47" s="229">
        <f>10^('Small Signal'!F47/30)</f>
        <v>31.622776601683803</v>
      </c>
      <c r="H47" s="229" t="str">
        <f t="shared" si="1"/>
        <v>198.691765315922i</v>
      </c>
      <c r="I47" s="229">
        <f>IF('Small Signal'!$B$37&gt;=1,Q47+0,N47+0)</f>
        <v>23.13769570081668</v>
      </c>
      <c r="J47" s="229">
        <f>IF('Small Signal'!$B$37&gt;=1,R47,O47)</f>
        <v>-0.4077488724716292</v>
      </c>
      <c r="K47" s="229">
        <f>IF('Small Signal'!$B$37&gt;=1,Z47+0,W47+0)</f>
        <v>57.996104254546</v>
      </c>
      <c r="L47" s="229">
        <f>IF('Small Signal'!$B$37&gt;=1,AA47,X47)</f>
        <v>110.3292300350922</v>
      </c>
      <c r="M47" s="229" t="str">
        <f>IMDIV(IMSUM('Small Signal'!$B$2*'Small Signal'!$B$16*'Small Signal'!$B$38,IMPRODUCT(H47,'Small Signal'!$B$2*'Small Signal'!$B$16*'Small Signal'!$B$38*'Small Signal'!$B$13*'Small Signal'!$B$14)),IMSUM(IMPRODUCT('Small Signal'!$B$11*'Small Signal'!$B$13*('Small Signal'!$B$14+'Small Signal'!$B$16),IMPOWER(H47,2)),IMSUM(IMPRODUCT(H47,('Small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14.3507231895102-0.102129511722679i</v>
      </c>
      <c r="N47" s="229">
        <f t="shared" si="2"/>
        <v>23.13769570081668</v>
      </c>
      <c r="O47" s="229">
        <f t="shared" si="3"/>
        <v>-0.4077488724716292</v>
      </c>
      <c r="P47" s="229" t="str">
        <f>IMDIV(IMSUM('Small Signal'!$B$48,IMPRODUCT(H47,'Small Signal'!$B$49)),IMSUM(IMPRODUCT('Small Signal'!$B$52,IMPOWER(H47,2)),IMSUM(IMPRODUCT(H47,'Small Signal'!$B$51),'Small Signal'!$B$50)))</f>
        <v>42.0766759700261-0.327973555535713i</v>
      </c>
      <c r="Q47" s="229">
        <f t="shared" si="4"/>
        <v>32.481092325760564</v>
      </c>
      <c r="R47" s="229">
        <f t="shared" si="5"/>
        <v>-0.4465923111642119</v>
      </c>
      <c r="S47" s="229" t="str">
        <f>IMPRODUCT(IMDIV(IMSUM(IMPRODUCT(H47,'Small Signal'!$B$33*'Small Signal'!$B$6*'Small Signal'!$B$27*'Small Signal'!$B$7*'Small Signal'!$B$8),'Small Signal'!$B$33*'Small Signal'!$B$6*'Small Signal'!$B$27),IMSUM(IMSUM(IMPRODUCT(H47,('Small Signal'!$B$5+'Small Signal'!$B$6)*('Small Signal'!$B$32*'Small Signal'!$B$33)+'Small Signal'!$B$5*'Small Signal'!$B$33*('Small Signal'!$B$8+'Small Signal'!$B$9)+'Small Signal'!$B$6*'Small Signal'!$B$33*('Small Signal'!$B$8+'Small Signal'!$B$9)+'Small Signal'!$B$7*'Small Signal'!$B$8*('Small Signal'!$B$5+'Small Signal'!$B$6)),'Small Signal'!$B$6+'Small Signal'!$B$5),IMPRODUCT(IMPOWER(H47,2),'Small Signal'!$B$32*'Small Signal'!$B$33*'Small Signal'!$B$8*'Small Signal'!$B$7*('Small Signal'!$B$5+'Small Signal'!$B$6)+('Small Signal'!$B$5+'Small Signal'!$B$6)*('Small Signal'!$B$9*'Small Signal'!$B$8*'Small Signal'!$B$33*'Small Signal'!$B$7)))),-1)</f>
        <v>-19.5893486418881+51.7406901844685i</v>
      </c>
      <c r="T47" s="229">
        <f t="shared" si="6"/>
        <v>34.85840855372932</v>
      </c>
      <c r="U47" s="229">
        <f t="shared" si="7"/>
        <v>110.7369789075638</v>
      </c>
      <c r="V47" s="229" t="str">
        <f t="shared" si="8"/>
        <v>-275.83706839781+744.516973083276i</v>
      </c>
      <c r="W47" s="226">
        <f t="shared" si="9"/>
        <v>57.996104254546</v>
      </c>
      <c r="X47" s="229">
        <f t="shared" si="10"/>
        <v>110.3292300350922</v>
      </c>
      <c r="Y47" s="229" t="str">
        <f t="shared" si="11"/>
        <v>-807.285097142925+2183.5010436821i</v>
      </c>
      <c r="Z47" s="226">
        <f t="shared" si="12"/>
        <v>67.33950087948989</v>
      </c>
      <c r="AA47" s="229">
        <f t="shared" si="13"/>
        <v>110.29038659639959</v>
      </c>
    </row>
    <row r="48" spans="1:27" ht="12.75">
      <c r="A48" s="91" t="s">
        <v>78</v>
      </c>
      <c r="B48" s="90">
        <f>B38*B43*B11*B10*B46</f>
        <v>604547345.2608485</v>
      </c>
      <c r="F48" s="78">
        <v>46</v>
      </c>
      <c r="G48" s="229">
        <f>10^('Small Signal'!F48/30)</f>
        <v>34.145488738336034</v>
      </c>
      <c r="H48" s="229" t="str">
        <f t="shared" si="1"/>
        <v>214.542433147179i</v>
      </c>
      <c r="I48" s="229">
        <f>IF('Small Signal'!$B$37&gt;=1,Q48+0,N48+0)</f>
        <v>23.137660848761804</v>
      </c>
      <c r="J48" s="229">
        <f>IF('Small Signal'!$B$37&gt;=1,R48,O48)</f>
        <v>-0.44027595526753455</v>
      </c>
      <c r="K48" s="229">
        <f>IF('Small Signal'!$B$37&gt;=1,Z48+0,W48+0)</f>
        <v>57.40409819384876</v>
      </c>
      <c r="L48" s="229">
        <f>IF('Small Signal'!$B$37&gt;=1,AA48,X48)</f>
        <v>108.94962054037484</v>
      </c>
      <c r="M48" s="229" t="str">
        <f>IMDIV(IMSUM('Small Signal'!$B$2*'Small Signal'!$B$16*'Small Signal'!$B$38,IMPRODUCT(H48,'Small Signal'!$B$2*'Small Signal'!$B$16*'Small Signal'!$B$38*'Small Signal'!$B$13*'Small Signal'!$B$14)),IMSUM(IMPRODUCT('Small Signal'!$B$11*'Small Signal'!$B$13*('Small Signal'!$B$14+'Small Signal'!$B$16),IMPOWER(H48,2)),IMSUM(IMPRODUCT(H48,('Small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14.3506053157815-0.1102760252169i</v>
      </c>
      <c r="N48" s="229">
        <f t="shared" si="2"/>
        <v>23.137660848761804</v>
      </c>
      <c r="O48" s="229">
        <f t="shared" si="3"/>
        <v>-0.44027595526753455</v>
      </c>
      <c r="P48" s="229" t="str">
        <f>IMDIV(IMSUM('Small Signal'!$B$48,IMPRODUCT(H48,'Small Signal'!$B$49)),IMSUM(IMPRODUCT('Small Signal'!$B$52,IMPOWER(H48,2)),IMSUM(IMPRODUCT(H48,'Small Signal'!$B$51),'Small Signal'!$B$50)))</f>
        <v>42.0763266038925-0.354135390334218i</v>
      </c>
      <c r="Q48" s="229">
        <f t="shared" si="4"/>
        <v>32.48106398274997</v>
      </c>
      <c r="R48" s="229">
        <f t="shared" si="5"/>
        <v>-0.4822185250485293</v>
      </c>
      <c r="S48" s="229" t="str">
        <f>IMPRODUCT(IMDIV(IMSUM(IMPRODUCT(H48,'Small Signal'!$B$33*'Small Signal'!$B$6*'Small Signal'!$B$27*'Small Signal'!$B$7*'Small Signal'!$B$8),'Small Signal'!$B$33*'Small Signal'!$B$6*'Small Signal'!$B$27),IMSUM(IMSUM(IMPRODUCT(H48,('Small Signal'!$B$5+'Small Signal'!$B$6)*('Small Signal'!$B$32*'Small Signal'!$B$33)+'Small Signal'!$B$5*'Small Signal'!$B$33*('Small Signal'!$B$8+'Small Signal'!$B$9)+'Small Signal'!$B$6*'Small Signal'!$B$33*('Small Signal'!$B$8+'Small Signal'!$B$9)+'Small Signal'!$B$7*'Small Signal'!$B$8*('Small Signal'!$B$5+'Small Signal'!$B$6)),'Small Signal'!$B$6+'Small Signal'!$B$5),IMPRODUCT(IMPOWER(H48,2),'Small Signal'!$B$32*'Small Signal'!$B$33*'Small Signal'!$B$8*'Small Signal'!$B$7*('Small Signal'!$B$5+'Small Signal'!$B$6)+('Small Signal'!$B$5+'Small Signal'!$B$6)*('Small Signal'!$B$9*'Small Signal'!$B$8*'Small Signal'!$B$33*'Small Signal'!$B$7)))),-1)</f>
        <v>-17.1574660376765+48.7487016783619i</v>
      </c>
      <c r="T48" s="229">
        <f t="shared" si="6"/>
        <v>34.26643734508695</v>
      </c>
      <c r="U48" s="229">
        <f t="shared" si="7"/>
        <v>109.38989649564235</v>
      </c>
      <c r="V48" s="229" t="str">
        <f t="shared" si="8"/>
        <v>-240.844210270047+701.465434600376i</v>
      </c>
      <c r="W48" s="226">
        <f t="shared" si="9"/>
        <v>57.40409819384876</v>
      </c>
      <c r="X48" s="229">
        <f t="shared" si="10"/>
        <v>108.94962054037484</v>
      </c>
      <c r="Y48" s="229" t="str">
        <f t="shared" si="11"/>
        <v>-704.659504199317+2057.24235926688i</v>
      </c>
      <c r="Z48" s="226">
        <f t="shared" si="12"/>
        <v>66.74750132783694</v>
      </c>
      <c r="AA48" s="229">
        <f t="shared" si="13"/>
        <v>108.9076779705938</v>
      </c>
    </row>
    <row r="49" spans="1:27" ht="12.75">
      <c r="A49" s="91" t="s">
        <v>77</v>
      </c>
      <c r="B49" s="90">
        <f>B38*B43*B11*B10</f>
        <v>88.16315451720708</v>
      </c>
      <c r="F49" s="78">
        <v>47</v>
      </c>
      <c r="G49" s="229">
        <f>10^('Small Signal'!F49/30)</f>
        <v>36.86945064519577</v>
      </c>
      <c r="H49" s="229" t="str">
        <f t="shared" si="1"/>
        <v>231.657590577677i</v>
      </c>
      <c r="I49" s="229">
        <f>IF('Small Signal'!$B$37&gt;=1,Q49+0,N49+0)</f>
        <v>23.137620214601707</v>
      </c>
      <c r="J49" s="229">
        <f>IF('Small Signal'!$B$37&gt;=1,R49,O49)</f>
        <v>-0.4753975937035081</v>
      </c>
      <c r="K49" s="229">
        <f>IF('Small Signal'!$B$37&gt;=1,Z49+0,W49+0)</f>
        <v>56.802511826867594</v>
      </c>
      <c r="L49" s="229">
        <f>IF('Small Signal'!$B$37&gt;=1,AA49,X49)</f>
        <v>107.6521661706024</v>
      </c>
      <c r="M49" s="229" t="str">
        <f>IMDIV(IMSUM('Small Signal'!$B$2*'Small Signal'!$B$16*'Small Signal'!$B$38,IMPRODUCT(H49,'Small Signal'!$B$2*'Small Signal'!$B$16*'Small Signal'!$B$38*'Small Signal'!$B$13*'Small Signal'!$B$14)),IMSUM(IMPRODUCT('Small Signal'!$B$11*'Small Signal'!$B$13*('Small Signal'!$B$14+'Small Signal'!$B$16),IMPOWER(H49,2)),IMSUM(IMPRODUCT(H49,('Small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14.3504678874906-0.119072199048465i</v>
      </c>
      <c r="N49" s="229">
        <f t="shared" si="2"/>
        <v>23.137620214601707</v>
      </c>
      <c r="O49" s="229">
        <f t="shared" si="3"/>
        <v>-0.4753975937035081</v>
      </c>
      <c r="P49" s="229" t="str">
        <f>IMDIV(IMSUM('Small Signal'!$B$48,IMPRODUCT(H49,'Small Signal'!$B$49)),IMSUM(IMPRODUCT('Small Signal'!$B$52,IMPOWER(H49,2)),IMSUM(IMPRODUCT(H49,'Small Signal'!$B$51),'Small Signal'!$B$50)))</f>
        <v>42.075919278294-0.382383691972794i</v>
      </c>
      <c r="Q49" s="229">
        <f t="shared" si="4"/>
        <v>32.481030937423206</v>
      </c>
      <c r="R49" s="229">
        <f t="shared" si="5"/>
        <v>-0.5206866290921667</v>
      </c>
      <c r="S49" s="229" t="str">
        <f>IMPRODUCT(IMDIV(IMSUM(IMPRODUCT(H49,'Small Signal'!$B$33*'Small Signal'!$B$6*'Small Signal'!$B$27*'Small Signal'!$B$7*'Small Signal'!$B$8),'Small Signal'!$B$33*'Small Signal'!$B$6*'Small Signal'!$B$27),IMSUM(IMSUM(IMPRODUCT(H49,('Small Signal'!$B$5+'Small Signal'!$B$6)*('Small Signal'!$B$32*'Small Signal'!$B$33)+'Small Signal'!$B$5*'Small Signal'!$B$33*('Small Signal'!$B$8+'Small Signal'!$B$9)+'Small Signal'!$B$6*'Small Signal'!$B$33*('Small Signal'!$B$8+'Small Signal'!$B$9)+'Small Signal'!$B$7*'Small Signal'!$B$8*('Small Signal'!$B$5+'Small Signal'!$B$6)),'Small Signal'!$B$6+'Small Signal'!$B$5),IMPRODUCT(IMPOWER(H49,2),'Small Signal'!$B$32*'Small Signal'!$B$33*'Small Signal'!$B$8*'Small Signal'!$B$7*('Small Signal'!$B$5+'Small Signal'!$B$6)+('Small Signal'!$B$5+'Small Signal'!$B$6)*('Small Signal'!$B$9*'Small Signal'!$B$8*'Small Signal'!$B$33*'Small Signal'!$B$7)))),-1)</f>
        <v>-15.0034656115409+45.8284897248519i</v>
      </c>
      <c r="T49" s="229">
        <f t="shared" si="6"/>
        <v>33.6648916122659</v>
      </c>
      <c r="U49" s="229">
        <f t="shared" si="7"/>
        <v>108.1275637643059</v>
      </c>
      <c r="V49" s="229" t="str">
        <f t="shared" si="8"/>
        <v>-209.849852408879+659.446765772394i</v>
      </c>
      <c r="W49" s="226">
        <f t="shared" si="9"/>
        <v>56.802511826867594</v>
      </c>
      <c r="X49" s="229">
        <f t="shared" si="10"/>
        <v>107.6521661706024</v>
      </c>
      <c r="Y49" s="229" t="str">
        <f t="shared" si="11"/>
        <v>-613.760540867329+1934.01291488192i</v>
      </c>
      <c r="Z49" s="226">
        <f t="shared" si="12"/>
        <v>66.14592254968909</v>
      </c>
      <c r="AA49" s="229">
        <f t="shared" si="13"/>
        <v>107.60687713521376</v>
      </c>
    </row>
    <row r="50" spans="1:27" ht="12.75">
      <c r="A50" s="91" t="s">
        <v>79</v>
      </c>
      <c r="B50" s="90">
        <f>B11*B46*B10-B38*B43*B46*B30*B42</f>
        <v>14367035.354846105</v>
      </c>
      <c r="F50" s="78">
        <v>48</v>
      </c>
      <c r="G50" s="229">
        <f>10^('Small Signal'!F50/30)</f>
        <v>39.810717055349755</v>
      </c>
      <c r="H50" s="229" t="str">
        <f t="shared" si="1"/>
        <v>250.138112470457i</v>
      </c>
      <c r="I50" s="229">
        <f>IF('Small Signal'!$B$37&gt;=1,Q50+0,N50+0)</f>
        <v>23.137572839128552</v>
      </c>
      <c r="J50" s="229">
        <f>IF('Small Signal'!$B$37&gt;=1,R50,O50)</f>
        <v>-0.5133206918096161</v>
      </c>
      <c r="K50" s="229">
        <f>IF('Small Signal'!$B$37&gt;=1,Z50+0,W50+0)</f>
        <v>56.19245839575634</v>
      </c>
      <c r="L50" s="229">
        <f>IF('Small Signal'!$B$37&gt;=1,AA50,X50)</f>
        <v>106.43465238472649</v>
      </c>
      <c r="M50" s="229" t="str">
        <f>IMDIV(IMSUM('Small Signal'!$B$2*'Small Signal'!$B$16*'Small Signal'!$B$38,IMPRODUCT(H50,'Small Signal'!$B$2*'Small Signal'!$B$16*'Small Signal'!$B$38*'Small Signal'!$B$13*'Small Signal'!$B$14)),IMSUM(IMPRODUCT('Small Signal'!$B$11*'Small Signal'!$B$13*('Small Signal'!$B$14+'Small Signal'!$B$16),IMPOWER(H50,2)),IMSUM(IMPRODUCT(H50,('Small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14.3503076611117-0.128569800665722i</v>
      </c>
      <c r="N50" s="229">
        <f t="shared" si="2"/>
        <v>23.137572839128552</v>
      </c>
      <c r="O50" s="229">
        <f t="shared" si="3"/>
        <v>-0.5133206918096161</v>
      </c>
      <c r="P50" s="229" t="str">
        <f>IMDIV(IMSUM('Small Signal'!$B$48,IMPRODUCT(H50,'Small Signal'!$B$49)),IMSUM(IMPRODUCT('Small Signal'!$B$52,IMPOWER(H50,2)),IMSUM(IMPRODUCT(H50,'Small Signal'!$B$51),'Small Signal'!$B$50)))</f>
        <v>42.0754443788638-0.412884753920172i</v>
      </c>
      <c r="Q50" s="229">
        <f t="shared" si="4"/>
        <v>32.4809924096692</v>
      </c>
      <c r="R50" s="229">
        <f t="shared" si="5"/>
        <v>-0.5622232845813367</v>
      </c>
      <c r="S50" s="229" t="str">
        <f>IMPRODUCT(IMDIV(IMSUM(IMPRODUCT(H50,'Small Signal'!$B$33*'Small Signal'!$B$6*'Small Signal'!$B$27*'Small Signal'!$B$7*'Small Signal'!$B$8),'Small Signal'!$B$33*'Small Signal'!$B$6*'Small Signal'!$B$27),IMSUM(IMSUM(IMPRODUCT(H50,('Small Signal'!$B$5+'Small Signal'!$B$6)*('Small Signal'!$B$32*'Small Signal'!$B$33)+'Small Signal'!$B$5*'Small Signal'!$B$33*('Small Signal'!$B$8+'Small Signal'!$B$9)+'Small Signal'!$B$6*'Small Signal'!$B$33*('Small Signal'!$B$8+'Small Signal'!$B$9)+'Small Signal'!$B$7*'Small Signal'!$B$8*('Small Signal'!$B$5+'Small Signal'!$B$6)),'Small Signal'!$B$6+'Small Signal'!$B$5),IMPRODUCT(IMPOWER(H50,2),'Small Signal'!$B$32*'Small Signal'!$B$33*'Small Signal'!$B$8*'Small Signal'!$B$7*('Small Signal'!$B$5+'Small Signal'!$B$6)+('Small Signal'!$B$5+'Small Signal'!$B$6)*('Small Signal'!$B$9*'Small Signal'!$B$8*'Small Signal'!$B$33*'Small Signal'!$B$7)))),-1)</f>
        <v>-13.1035097038984+42.999258339669i</v>
      </c>
      <c r="T50" s="229">
        <f t="shared" si="6"/>
        <v>33.05488555662779</v>
      </c>
      <c r="U50" s="229">
        <f t="shared" si="7"/>
        <v>106.94797307653609</v>
      </c>
      <c r="V50" s="229" t="str">
        <f t="shared" si="8"/>
        <v>-182.5109896178+618.737302004525i</v>
      </c>
      <c r="W50" s="226">
        <f t="shared" si="9"/>
        <v>56.19245839575634</v>
      </c>
      <c r="X50" s="229">
        <f t="shared" si="10"/>
        <v>106.43465238472649</v>
      </c>
      <c r="Y50" s="229" t="str">
        <f t="shared" si="11"/>
        <v>-533.582255515955+1814.62314198272i</v>
      </c>
      <c r="Z50" s="226">
        <f t="shared" si="12"/>
        <v>65.53587796629698</v>
      </c>
      <c r="AA50" s="229">
        <f t="shared" si="13"/>
        <v>106.38574979195477</v>
      </c>
    </row>
    <row r="51" spans="1:27" ht="12.75">
      <c r="A51" s="91" t="s">
        <v>80</v>
      </c>
      <c r="B51" s="90">
        <f>B11*B46*B10*B44-B42*B38*B43*B30</f>
        <v>565.7069291912187</v>
      </c>
      <c r="F51" s="78">
        <v>49</v>
      </c>
      <c r="G51" s="229">
        <f>10^('Small Signal'!F51/30)</f>
        <v>42.98662347082277</v>
      </c>
      <c r="H51" s="229" t="str">
        <f t="shared" si="1"/>
        <v>270.092920997135i</v>
      </c>
      <c r="I51" s="229">
        <f>IF('Small Signal'!$B$37&gt;=1,Q51+0,N51+0)</f>
        <v>23.137517604033654</v>
      </c>
      <c r="J51" s="229">
        <f>IF('Small Signal'!$B$37&gt;=1,R51,O51)</f>
        <v>-0.5542686394671508</v>
      </c>
      <c r="K51" s="229">
        <f>IF('Small Signal'!$B$37&gt;=1,Z51+0,W51+0)</f>
        <v>55.574951278174005</v>
      </c>
      <c r="L51" s="229">
        <f>IF('Small Signal'!$B$37&gt;=1,AA51,X51)</f>
        <v>105.29440485037905</v>
      </c>
      <c r="M51" s="229" t="str">
        <f>IMDIV(IMSUM('Small Signal'!$B$2*'Small Signal'!$B$16*'Small Signal'!$B$38,IMPRODUCT(H51,'Small Signal'!$B$2*'Small Signal'!$B$16*'Small Signal'!$B$38*'Small Signal'!$B$13*'Small Signal'!$B$14)),IMSUM(IMPRODUCT('Small Signal'!$B$11*'Small Signal'!$B$13*('Small Signal'!$B$14+'Small Signal'!$B$16),IMPOWER(H51,2)),IMSUM(IMPRODUCT(H51,('Small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14.3501208552795-0.138824711920851i</v>
      </c>
      <c r="N51" s="229">
        <f t="shared" si="2"/>
        <v>23.137517604033654</v>
      </c>
      <c r="O51" s="229">
        <f t="shared" si="3"/>
        <v>-0.5542686394671508</v>
      </c>
      <c r="P51" s="229" t="str">
        <f>IMDIV(IMSUM('Small Signal'!$B$48,IMPRODUCT(H51,'Small Signal'!$B$49)),IMSUM(IMPRODUCT('Small Signal'!$B$52,IMPOWER(H51,2)),IMSUM(IMPRODUCT(H51,'Small Signal'!$B$51),'Small Signal'!$B$50)))</f>
        <v>42.0748906967721-0.44581809567001i</v>
      </c>
      <c r="Q51" s="229">
        <f t="shared" si="4"/>
        <v>32.480947489970895</v>
      </c>
      <c r="R51" s="229">
        <f t="shared" si="5"/>
        <v>-0.6070732215492516</v>
      </c>
      <c r="S51" s="229" t="str">
        <f>IMPRODUCT(IMDIV(IMSUM(IMPRODUCT(H51,'Small Signal'!$B$33*'Small Signal'!$B$6*'Small Signal'!$B$27*'Small Signal'!$B$7*'Small Signal'!$B$8),'Small Signal'!$B$33*'Small Signal'!$B$6*'Small Signal'!$B$27),IMSUM(IMSUM(IMPRODUCT(H51,('Small Signal'!$B$5+'Small Signal'!$B$6)*('Small Signal'!$B$32*'Small Signal'!$B$33)+'Small Signal'!$B$5*'Small Signal'!$B$33*('Small Signal'!$B$8+'Small Signal'!$B$9)+'Small Signal'!$B$6*'Small Signal'!$B$33*('Small Signal'!$B$8+'Small Signal'!$B$9)+'Small Signal'!$B$7*'Small Signal'!$B$8*('Small Signal'!$B$5+'Small Signal'!$B$6)),'Small Signal'!$B$6+'Small Signal'!$B$5),IMPRODUCT(IMPOWER(H51,2),'Small Signal'!$B$32*'Small Signal'!$B$33*'Small Signal'!$B$8*'Small Signal'!$B$7*('Small Signal'!$B$5+'Small Signal'!$B$6)+('Small Signal'!$B$5+'Small Signal'!$B$6)*('Small Signal'!$B$9*'Small Signal'!$B$8*'Small Signal'!$B$33*'Small Signal'!$B$7)))),-1)</f>
        <v>-11.4337715776146+40.2754674126148i</v>
      </c>
      <c r="T51" s="229">
        <f t="shared" si="6"/>
        <v>32.437433674140344</v>
      </c>
      <c r="U51" s="229">
        <f t="shared" si="7"/>
        <v>105.84867348984625</v>
      </c>
      <c r="V51" s="229" t="str">
        <f t="shared" si="8"/>
        <v>-158.484773809395+579.545114919325i</v>
      </c>
      <c r="W51" s="226">
        <f t="shared" si="9"/>
        <v>55.574951278174005</v>
      </c>
      <c r="X51" s="229">
        <f t="shared" si="10"/>
        <v>105.29440485037905</v>
      </c>
      <c r="Y51" s="229" t="str">
        <f t="shared" si="11"/>
        <v>-463.119157195882+1699.68327141823i</v>
      </c>
      <c r="Z51" s="226">
        <f t="shared" si="12"/>
        <v>64.91838116411122</v>
      </c>
      <c r="AA51" s="229">
        <f t="shared" si="13"/>
        <v>105.24160026829699</v>
      </c>
    </row>
    <row r="52" spans="1:27" ht="12.75">
      <c r="A52" s="91" t="s">
        <v>81</v>
      </c>
      <c r="B52" s="90">
        <f>B11*B46*B10*B45</f>
        <v>0.003979645876027914</v>
      </c>
      <c r="F52" s="78">
        <v>50</v>
      </c>
      <c r="G52" s="229">
        <f>10^('Small Signal'!F52/30)</f>
        <v>46.41588833612781</v>
      </c>
      <c r="H52" s="229" t="str">
        <f t="shared" si="1"/>
        <v>291.639627613247i</v>
      </c>
      <c r="I52" s="229">
        <f>IF('Small Signal'!$B$37&gt;=1,Q52+0,N52+0)</f>
        <v>23.1374532055268</v>
      </c>
      <c r="J52" s="229">
        <f>IF('Small Signal'!$B$37&gt;=1,R52,O52)</f>
        <v>-0.5984826224056723</v>
      </c>
      <c r="K52" s="229">
        <f>IF('Small Signal'!$B$37&gt;=1,Z52+0,W52+0)</f>
        <v>54.95090546344763</v>
      </c>
      <c r="L52" s="229">
        <f>IF('Small Signal'!$B$37&gt;=1,AA52,X52)</f>
        <v>104.22841263660303</v>
      </c>
      <c r="M52" s="229" t="str">
        <f>IMDIV(IMSUM('Small Signal'!$B$2*'Small Signal'!$B$16*'Small Signal'!$B$38,IMPRODUCT(H52,'Small Signal'!$B$2*'Small Signal'!$B$16*'Small Signal'!$B$38*'Small Signal'!$B$13*'Small Signal'!$B$14)),IMSUM(IMPRODUCT('Small Signal'!$B$11*'Small Signal'!$B$13*('Small Signal'!$B$14+'Small Signal'!$B$16),IMPOWER(H52,2)),IMSUM(IMPRODUCT(H52,('Small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14.3499030616648-0.149897253323848i</v>
      </c>
      <c r="N52" s="229">
        <f t="shared" si="2"/>
        <v>23.1374532055268</v>
      </c>
      <c r="O52" s="229">
        <f t="shared" si="3"/>
        <v>-0.5984826224056723</v>
      </c>
      <c r="P52" s="229" t="str">
        <f>IMDIV(IMSUM('Small Signal'!$B$48,IMPRODUCT(H52,'Small Signal'!$B$49)),IMSUM(IMPRODUCT('Small Signal'!$B$52,IMPOWER(H52,2)),IMSUM(IMPRODUCT(H52,'Small Signal'!$B$51),'Small Signal'!$B$50)))</f>
        <v>42.0742451644309-0.48137750747954i</v>
      </c>
      <c r="Q52" s="229">
        <f t="shared" si="4"/>
        <v>32.48089511794368</v>
      </c>
      <c r="R52" s="229">
        <f t="shared" si="5"/>
        <v>-0.6555006767978073</v>
      </c>
      <c r="S52" s="229" t="str">
        <f>IMPRODUCT(IMDIV(IMSUM(IMPRODUCT(H52,'Small Signal'!$B$33*'Small Signal'!$B$6*'Small Signal'!$B$27*'Small Signal'!$B$7*'Small Signal'!$B$8),'Small Signal'!$B$33*'Small Signal'!$B$6*'Small Signal'!$B$27),IMSUM(IMSUM(IMPRODUCT(H52,('Small Signal'!$B$5+'Small Signal'!$B$6)*('Small Signal'!$B$32*'Small Signal'!$B$33)+'Small Signal'!$B$5*'Small Signal'!$B$33*('Small Signal'!$B$8+'Small Signal'!$B$9)+'Small Signal'!$B$6*'Small Signal'!$B$33*('Small Signal'!$B$8+'Small Signal'!$B$9)+'Small Signal'!$B$7*'Small Signal'!$B$8*('Small Signal'!$B$5+'Small Signal'!$B$6)),'Small Signal'!$B$6+'Small Signal'!$B$5),IMPRODUCT(IMPOWER(H52,2),'Small Signal'!$B$32*'Small Signal'!$B$33*'Small Signal'!$B$8*'Small Signal'!$B$7*('Small Signal'!$B$5+'Small Signal'!$B$6)+('Small Signal'!$B$5+'Small Signal'!$B$6)*('Small Signal'!$B$9*'Small Signal'!$B$8*'Small Signal'!$B$33*'Small Signal'!$B$7)))),-1)</f>
        <v>-9.97107916104935+37.6674175970748i</v>
      </c>
      <c r="T52" s="229">
        <f t="shared" si="6"/>
        <v>31.81345225792084</v>
      </c>
      <c r="U52" s="229">
        <f t="shared" si="7"/>
        <v>104.82689525900874</v>
      </c>
      <c r="V52" s="229" t="str">
        <f t="shared" si="8"/>
        <v>-137.43777694364+542.018428480186i</v>
      </c>
      <c r="W52" s="226">
        <f t="shared" si="9"/>
        <v>54.95090546344763</v>
      </c>
      <c r="X52" s="229">
        <f t="shared" si="10"/>
        <v>104.22841263660303</v>
      </c>
      <c r="Y52" s="229" t="str">
        <f t="shared" si="11"/>
        <v>-401.393381579867+1589.62801592375i</v>
      </c>
      <c r="Z52" s="226">
        <f t="shared" si="12"/>
        <v>64.29434737586452</v>
      </c>
      <c r="AA52" s="229">
        <f t="shared" si="13"/>
        <v>104.17139458221091</v>
      </c>
    </row>
    <row r="53" spans="6:27" ht="12.75">
      <c r="F53" s="78">
        <v>51</v>
      </c>
      <c r="G53" s="229">
        <f>10^('Small Signal'!F53/30)</f>
        <v>50.11872336272724</v>
      </c>
      <c r="H53" s="229" t="str">
        <f t="shared" si="1"/>
        <v>314.905226247286i</v>
      </c>
      <c r="I53" s="229">
        <f>IF('Small Signal'!$B$37&gt;=1,Q53+0,N53+0)</f>
        <v>23.137378123584043</v>
      </c>
      <c r="J53" s="229">
        <f>IF('Small Signal'!$B$37&gt;=1,R53,O53)</f>
        <v>-0.6462230353689031</v>
      </c>
      <c r="K53" s="229">
        <f>IF('Small Signal'!$B$37&gt;=1,Z53+0,W53+0)</f>
        <v>54.32114132695848</v>
      </c>
      <c r="L53" s="229">
        <f>IF('Small Signal'!$B$37&gt;=1,AA53,X53)</f>
        <v>103.23343496313376</v>
      </c>
      <c r="M53" s="229" t="str">
        <f>IMDIV(IMSUM('Small Signal'!$B$2*'Small Signal'!$B$16*'Small Signal'!$B$38,IMPRODUCT(H53,'Small Signal'!$B$2*'Small Signal'!$B$16*'Small Signal'!$B$38*'Small Signal'!$B$13*'Small Signal'!$B$14)),IMSUM(IMPRODUCT('Small Signal'!$B$11*'Small Signal'!$B$13*('Small Signal'!$B$14+'Small Signal'!$B$16),IMPOWER(H53,2)),IMSUM(IMPRODUCT(H53,('Small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14.349649141102-0.16185253313609i</v>
      </c>
      <c r="N53" s="229">
        <f t="shared" si="2"/>
        <v>23.137378123584043</v>
      </c>
      <c r="O53" s="229">
        <f t="shared" si="3"/>
        <v>-0.6462230353689031</v>
      </c>
      <c r="P53" s="229" t="str">
        <f>IMDIV(IMSUM('Small Signal'!$B$48,IMPRODUCT(H53,'Small Signal'!$B$49)),IMSUM(IMPRODUCT('Small Signal'!$B$52,IMPOWER(H53,2)),IMSUM(IMPRODUCT(H53,'Small Signal'!$B$51),'Small Signal'!$B$50)))</f>
        <v>42.0734925474417-0.519772175769366i</v>
      </c>
      <c r="Q53" s="229">
        <f t="shared" si="4"/>
        <v>32.48083405731711</v>
      </c>
      <c r="R53" s="229">
        <f t="shared" si="5"/>
        <v>-0.7077909457537578</v>
      </c>
      <c r="S53" s="229" t="str">
        <f>IMPRODUCT(IMDIV(IMSUM(IMPRODUCT(H53,'Small Signal'!$B$33*'Small Signal'!$B$6*'Small Signal'!$B$27*'Small Signal'!$B$7*'Small Signal'!$B$8),'Small Signal'!$B$33*'Small Signal'!$B$6*'Small Signal'!$B$27),IMSUM(IMSUM(IMPRODUCT(H53,('Small Signal'!$B$5+'Small Signal'!$B$6)*('Small Signal'!$B$32*'Small Signal'!$B$33)+'Small Signal'!$B$5*'Small Signal'!$B$33*('Small Signal'!$B$8+'Small Signal'!$B$9)+'Small Signal'!$B$6*'Small Signal'!$B$33*('Small Signal'!$B$8+'Small Signal'!$B$9)+'Small Signal'!$B$7*'Small Signal'!$B$8*('Small Signal'!$B$5+'Small Signal'!$B$6)),'Small Signal'!$B$6+'Small Signal'!$B$5),IMPRODUCT(IMPOWER(H53,2),'Small Signal'!$B$32*'Small Signal'!$B$33*'Small Signal'!$B$8*'Small Signal'!$B$7*('Small Signal'!$B$5+'Small Signal'!$B$6)+('Small Signal'!$B$5+'Small Signal'!$B$6)*('Small Signal'!$B$9*'Small Signal'!$B$8*'Small Signal'!$B$33*'Small Signal'!$B$7)))),-1)</f>
        <v>-8.69337344422602+35.1818516248741i</v>
      </c>
      <c r="T53" s="229">
        <f t="shared" si="6"/>
        <v>31.183763203374433</v>
      </c>
      <c r="U53" s="229">
        <f t="shared" si="7"/>
        <v>103.87965799850265</v>
      </c>
      <c r="V53" s="229" t="str">
        <f t="shared" si="8"/>
        <v>-119.052586971313+506.254271464699i</v>
      </c>
      <c r="W53" s="226">
        <f t="shared" si="9"/>
        <v>54.32114132695848</v>
      </c>
      <c r="X53" s="229">
        <f t="shared" si="10"/>
        <v>103.23343496313376</v>
      </c>
      <c r="Y53" s="229" t="str">
        <f t="shared" si="11"/>
        <v>-347.474035251115+1484.74194577422i</v>
      </c>
      <c r="Z53" s="226">
        <f t="shared" si="12"/>
        <v>63.66459726069154</v>
      </c>
      <c r="AA53" s="229">
        <f t="shared" si="13"/>
        <v>103.1718670527489</v>
      </c>
    </row>
    <row r="54" spans="6:27" ht="12.75">
      <c r="F54" s="78">
        <v>52</v>
      </c>
      <c r="G54" s="229">
        <f>10^('Small Signal'!F54/30)</f>
        <v>54.11695265464639</v>
      </c>
      <c r="H54" s="229" t="str">
        <f t="shared" si="1"/>
        <v>340.026841789008i</v>
      </c>
      <c r="I54" s="229">
        <f>IF('Small Signal'!$B$37&gt;=1,Q54+0,N54+0)</f>
        <v>23.137290586102207</v>
      </c>
      <c r="J54" s="229">
        <f>IF('Small Signal'!$B$37&gt;=1,R54,O54)</f>
        <v>-0.6977710063338874</v>
      </c>
      <c r="K54" s="229">
        <f>IF('Small Signal'!$B$37&gt;=1,Z54+0,W54+0)</f>
        <v>53.68638998712731</v>
      </c>
      <c r="L54" s="229">
        <f>IF('Small Signal'!$B$37&gt;=1,AA54,X54)</f>
        <v>102.30609157318527</v>
      </c>
      <c r="M54" s="229" t="str">
        <f>IMDIV(IMSUM('Small Signal'!$B$2*'Small Signal'!$B$16*'Small Signal'!$B$38,IMPRODUCT(H54,'Small Signal'!$B$2*'Small Signal'!$B$16*'Small Signal'!$B$38*'Small Signal'!$B$13*'Small Signal'!$B$14)),IMSUM(IMPRODUCT('Small Signal'!$B$11*'Small Signal'!$B$13*('Small Signal'!$B$14+'Small Signal'!$B$16),IMPOWER(H54,2)),IMSUM(IMPRODUCT(H54,('Small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14.3493531025382-0.174760823019335i</v>
      </c>
      <c r="N54" s="229">
        <f t="shared" si="2"/>
        <v>23.137290586102207</v>
      </c>
      <c r="O54" s="229">
        <f t="shared" si="3"/>
        <v>-0.6977710063338874</v>
      </c>
      <c r="P54" s="229" t="str">
        <f>IMDIV(IMSUM('Small Signal'!$B$48,IMPRODUCT(H54,'Small Signal'!$B$49)),IMSUM(IMPRODUCT('Small Signal'!$B$52,IMPOWER(H54,2)),IMSUM(IMPRODUCT(H54,'Small Signal'!$B$51),'Small Signal'!$B$50)))</f>
        <v>42.0726150855538-0.561227894925144i</v>
      </c>
      <c r="Q54" s="229">
        <f t="shared" si="4"/>
        <v>32.48076286676972</v>
      </c>
      <c r="R54" s="229">
        <f t="shared" si="5"/>
        <v>-0.764252057011671</v>
      </c>
      <c r="S54" s="229" t="str">
        <f>IMPRODUCT(IMDIV(IMSUM(IMPRODUCT(H54,'Small Signal'!$B$33*'Small Signal'!$B$6*'Small Signal'!$B$27*'Small Signal'!$B$7*'Small Signal'!$B$8),'Small Signal'!$B$33*'Small Signal'!$B$6*'Small Signal'!$B$27),IMSUM(IMSUM(IMPRODUCT(H54,('Small Signal'!$B$5+'Small Signal'!$B$6)*('Small Signal'!$B$32*'Small Signal'!$B$33)+'Small Signal'!$B$5*'Small Signal'!$B$33*('Small Signal'!$B$8+'Small Signal'!$B$9)+'Small Signal'!$B$6*'Small Signal'!$B$33*('Small Signal'!$B$8+'Small Signal'!$B$9)+'Small Signal'!$B$7*'Small Signal'!$B$8*('Small Signal'!$B$5+'Small Signal'!$B$6)),'Small Signal'!$B$6+'Small Signal'!$B$5),IMPRODUCT(IMPOWER(H54,2),'Small Signal'!$B$32*'Small Signal'!$B$33*'Small Signal'!$B$8*'Small Signal'!$B$7*('Small Signal'!$B$5+'Small Signal'!$B$6)+('Small Signal'!$B$5+'Small Signal'!$B$6)*('Small Signal'!$B$9*'Small Signal'!$B$8*'Small Signal'!$B$33*'Small Signal'!$B$7)))),-1)</f>
        <v>-7.58001037167673+32.8225366934343i</v>
      </c>
      <c r="T54" s="229">
        <f t="shared" si="6"/>
        <v>30.5490994010251</v>
      </c>
      <c r="U54" s="229">
        <f t="shared" si="7"/>
        <v>103.0038625795192</v>
      </c>
      <c r="V54" s="229" t="str">
        <f t="shared" si="8"/>
        <v>-103.032151817964+472.306857586155i</v>
      </c>
      <c r="W54" s="226">
        <f t="shared" si="9"/>
        <v>53.68638998712731</v>
      </c>
      <c r="X54" s="229">
        <f t="shared" si="10"/>
        <v>102.30609157318527</v>
      </c>
      <c r="Y54" s="229" t="str">
        <f t="shared" si="11"/>
        <v>-300.489935537501+1385.18406569873i</v>
      </c>
      <c r="Z54" s="226">
        <f t="shared" si="12"/>
        <v>63.029862267794805</v>
      </c>
      <c r="AA54" s="229">
        <f t="shared" si="13"/>
        <v>102.23961052250755</v>
      </c>
    </row>
    <row r="55" spans="6:27" ht="12.75">
      <c r="F55" s="78">
        <v>53</v>
      </c>
      <c r="G55" s="229">
        <f>10^('Small Signal'!F55/30)</f>
        <v>58.434141337351775</v>
      </c>
      <c r="H55" s="229" t="str">
        <f t="shared" si="1"/>
        <v>367.152538288504i</v>
      </c>
      <c r="I55" s="229">
        <f>IF('Small Signal'!$B$37&gt;=1,Q55+0,N55+0)</f>
        <v>23.13718852711584</v>
      </c>
      <c r="J55" s="229">
        <f>IF('Small Signal'!$B$37&gt;=1,R55,O55)</f>
        <v>-0.7534300402078262</v>
      </c>
      <c r="K55" s="229">
        <f>IF('Small Signal'!$B$37&gt;=1,Z55+0,W55+0)</f>
        <v>53.04729965357517</v>
      </c>
      <c r="L55" s="229">
        <f>IF('Small Signal'!$B$37&gt;=1,AA55,X55)</f>
        <v>101.44293759568268</v>
      </c>
      <c r="M55" s="229" t="str">
        <f>IMDIV(IMSUM('Small Signal'!$B$2*'Small Signal'!$B$16*'Small Signal'!$B$38,IMPRODUCT(H55,'Small Signal'!$B$2*'Small Signal'!$B$16*'Small Signal'!$B$38*'Small Signal'!$B$13*'Small Signal'!$B$14)),IMSUM(IMPRODUCT('Small Signal'!$B$11*'Small Signal'!$B$13*('Small Signal'!$B$14+'Small Signal'!$B$16),IMPOWER(H55,2)),IMSUM(IMPRODUCT(H55,('Small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14.34900796197-0.188697962024338i</v>
      </c>
      <c r="N55" s="229">
        <f t="shared" si="2"/>
        <v>23.13718852711584</v>
      </c>
      <c r="O55" s="229">
        <f t="shared" si="3"/>
        <v>-0.7534300402078262</v>
      </c>
      <c r="P55" s="229" t="str">
        <f>IMDIV(IMSUM('Small Signal'!$B$48,IMPRODUCT(H55,'Small Signal'!$B$49)),IMSUM(IMPRODUCT('Small Signal'!$B$52,IMPOWER(H55,2)),IMSUM(IMPRODUCT(H55,'Small Signal'!$B$51),'Small Signal'!$B$50)))</f>
        <v>42.0715920742179-0.605988371520723i</v>
      </c>
      <c r="Q55" s="229">
        <f t="shared" si="4"/>
        <v>32.48067986593102</v>
      </c>
      <c r="R55" s="229">
        <f t="shared" si="5"/>
        <v>-0.825216579063159</v>
      </c>
      <c r="S55" s="229" t="str">
        <f>IMPRODUCT(IMDIV(IMSUM(IMPRODUCT(H55,'Small Signal'!$B$33*'Small Signal'!$B$6*'Small Signal'!$B$27*'Small Signal'!$B$7*'Small Signal'!$B$8),'Small Signal'!$B$33*'Small Signal'!$B$6*'Small Signal'!$B$27),IMSUM(IMSUM(IMPRODUCT(H55,('Small Signal'!$B$5+'Small Signal'!$B$6)*('Small Signal'!$B$32*'Small Signal'!$B$33)+'Small Signal'!$B$5*'Small Signal'!$B$33*('Small Signal'!$B$8+'Small Signal'!$B$9)+'Small Signal'!$B$6*'Small Signal'!$B$33*('Small Signal'!$B$8+'Small Signal'!$B$9)+'Small Signal'!$B$7*'Small Signal'!$B$8*('Small Signal'!$B$5+'Small Signal'!$B$6)),'Small Signal'!$B$6+'Small Signal'!$B$5),IMPRODUCT(IMPOWER(H55,2),'Small Signal'!$B$32*'Small Signal'!$B$33*'Small Signal'!$B$8*'Small Signal'!$B$7*('Small Signal'!$B$5+'Small Signal'!$B$6)+('Small Signal'!$B$5+'Small Signal'!$B$6)*('Small Signal'!$B$9*'Small Signal'!$B$8*'Small Signal'!$B$33*'Small Signal'!$B$7)))),-1)</f>
        <v>-6.61193615979366+30.5908049739562i</v>
      </c>
      <c r="T55" s="229">
        <f t="shared" si="6"/>
        <v>29.910111126459338</v>
      </c>
      <c r="U55" s="229">
        <f t="shared" si="7"/>
        <v>102.1963676358905</v>
      </c>
      <c r="V55" s="229" t="str">
        <f t="shared" si="8"/>
        <v>-89.1023020456471+440.195363012757i</v>
      </c>
      <c r="W55" s="226">
        <f t="shared" si="9"/>
        <v>53.04729965357517</v>
      </c>
      <c r="X55" s="229">
        <f t="shared" si="10"/>
        <v>101.44293759568268</v>
      </c>
      <c r="Y55" s="229" t="str">
        <f t="shared" si="11"/>
        <v>-259.637008845934+1291.01062451231i</v>
      </c>
      <c r="Z55" s="226">
        <f t="shared" si="12"/>
        <v>62.39079099239034</v>
      </c>
      <c r="AA55" s="229">
        <f t="shared" si="13"/>
        <v>101.37115105682737</v>
      </c>
    </row>
    <row r="56" spans="6:27" ht="12.75">
      <c r="F56" s="78">
        <v>54</v>
      </c>
      <c r="G56" s="229">
        <f>10^('Small Signal'!F56/30)</f>
        <v>63.095734448019364</v>
      </c>
      <c r="H56" s="229" t="str">
        <f t="shared" si="1"/>
        <v>396.4421916295i</v>
      </c>
      <c r="I56" s="229">
        <f>IF('Small Signal'!$B$37&gt;=1,Q56+0,N56+0)</f>
        <v>23.13706953809753</v>
      </c>
      <c r="J56" s="229">
        <f>IF('Small Signal'!$B$37&gt;=1,R56,O56)</f>
        <v>-0.8135277909863241</v>
      </c>
      <c r="K56" s="229">
        <f>IF('Small Signal'!$B$37&gt;=1,Z56+0,W56+0)</f>
        <v>52.40444249751783</v>
      </c>
      <c r="L56" s="229">
        <f>IF('Small Signal'!$B$37&gt;=1,AA56,X56)</f>
        <v>100.64052425364696</v>
      </c>
      <c r="M56" s="229" t="str">
        <f>IMDIV(IMSUM('Small Signal'!$B$2*'Small Signal'!$B$16*'Small Signal'!$B$38,IMPRODUCT(H56,'Small Signal'!$B$2*'Small Signal'!$B$16*'Small Signal'!$B$38*'Small Signal'!$B$13*'Small Signal'!$B$14)),IMSUM(IMPRODUCT('Small Signal'!$B$11*'Small Signal'!$B$13*('Small Signal'!$B$14+'Small Signal'!$B$16),IMPOWER(H56,2)),IMSUM(IMPRODUCT(H56,('Small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14.3486055780772-0.203745790759319i</v>
      </c>
      <c r="N56" s="229">
        <f t="shared" si="2"/>
        <v>23.13706953809753</v>
      </c>
      <c r="O56" s="229">
        <f t="shared" si="3"/>
        <v>-0.8135277909863241</v>
      </c>
      <c r="P56" s="229" t="str">
        <f>IMDIV(IMSUM('Small Signal'!$B$48,IMPRODUCT(H56,'Small Signal'!$B$49)),IMSUM(IMPRODUCT('Small Signal'!$B$52,IMPOWER(H56,2)),IMSUM(IMPRODUCT(H56,'Small Signal'!$B$51),'Small Signal'!$B$50)))</f>
        <v>42.0703993769419-0.65431662723718i</v>
      </c>
      <c r="Q56" s="229">
        <f t="shared" si="4"/>
        <v>32.48058309575123</v>
      </c>
      <c r="R56" s="229">
        <f t="shared" si="5"/>
        <v>-0.8910435693954014</v>
      </c>
      <c r="S56" s="229" t="str">
        <f>IMPRODUCT(IMDIV(IMSUM(IMPRODUCT(H56,'Small Signal'!$B$33*'Small Signal'!$B$6*'Small Signal'!$B$27*'Small Signal'!$B$7*'Small Signal'!$B$8),'Small Signal'!$B$33*'Small Signal'!$B$6*'Small Signal'!$B$27),IMSUM(IMSUM(IMPRODUCT(H56,('Small Signal'!$B$5+'Small Signal'!$B$6)*('Small Signal'!$B$32*'Small Signal'!$B$33)+'Small Signal'!$B$5*'Small Signal'!$B$33*('Small Signal'!$B$8+'Small Signal'!$B$9)+'Small Signal'!$B$6*'Small Signal'!$B$33*('Small Signal'!$B$8+'Small Signal'!$B$9)+'Small Signal'!$B$7*'Small Signal'!$B$8*('Small Signal'!$B$5+'Small Signal'!$B$6)),'Small Signal'!$B$6+'Small Signal'!$B$5),IMPRODUCT(IMPOWER(H56,2),'Small Signal'!$B$32*'Small Signal'!$B$33*'Small Signal'!$B$8*'Small Signal'!$B$7*('Small Signal'!$B$5+'Small Signal'!$B$6)+('Small Signal'!$B$5+'Small Signal'!$B$6)*('Small Signal'!$B$9*'Small Signal'!$B$8*'Small Signal'!$B$33*'Small Signal'!$B$7)))),-1)</f>
        <v>-5.77176428297654+28.486039194212i</v>
      </c>
      <c r="T56" s="229">
        <f t="shared" si="6"/>
        <v>29.267372959420307</v>
      </c>
      <c r="U56" s="229">
        <f t="shared" si="7"/>
        <v>101.45405204463326</v>
      </c>
      <c r="V56" s="229" t="str">
        <f t="shared" si="8"/>
        <v>-77.0128586048383+409.910913557307i</v>
      </c>
      <c r="W56" s="226">
        <f t="shared" si="9"/>
        <v>52.40444249751783</v>
      </c>
      <c r="X56" s="229">
        <f t="shared" si="10"/>
        <v>100.64052425364696</v>
      </c>
      <c r="Y56" s="229" t="str">
        <f t="shared" si="11"/>
        <v>-224.181539405489+1202.19560690656i</v>
      </c>
      <c r="Z56" s="226">
        <f t="shared" si="12"/>
        <v>61.74795605517151</v>
      </c>
      <c r="AA56" s="229">
        <f t="shared" si="13"/>
        <v>100.5630084752379</v>
      </c>
    </row>
    <row r="57" spans="6:27" ht="12.75">
      <c r="F57" s="78">
        <v>55</v>
      </c>
      <c r="G57" s="229">
        <f>10^('Small Signal'!F57/30)</f>
        <v>68.12920690579612</v>
      </c>
      <c r="H57" s="229" t="str">
        <f t="shared" si="1"/>
        <v>428.068431820296i</v>
      </c>
      <c r="I57" s="229">
        <f>IF('Small Signal'!$B$37&gt;=1,Q57+0,N57+0)</f>
        <v>23.136930811197466</v>
      </c>
      <c r="J57" s="229">
        <f>IF('Small Signal'!$B$37&gt;=1,R57,O57)</f>
        <v>-0.8784179719323035</v>
      </c>
      <c r="K57" s="229">
        <f>IF('Small Signal'!$B$37&gt;=1,Z57+0,W57+0)</f>
        <v>51.758321687281594</v>
      </c>
      <c r="L57" s="229">
        <f>IF('Small Signal'!$B$37&gt;=1,AA57,X57)</f>
        <v>99.89544702761508</v>
      </c>
      <c r="M57" s="229" t="str">
        <f>IMDIV(IMSUM('Small Signal'!$B$2*'Small Signal'!$B$16*'Small Signal'!$B$38,IMPRODUCT(H57,'Small Signal'!$B$2*'Small Signal'!$B$16*'Small Signal'!$B$38*'Small Signal'!$B$13*'Small Signal'!$B$14)),IMSUM(IMPRODUCT('Small Signal'!$B$11*'Small Signal'!$B$13*('Small Signal'!$B$14+'Small Signal'!$B$16),IMPOWER(H57,2)),IMSUM(IMPRODUCT(H57,('Small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14.3481364607201-0.219992617616869i</v>
      </c>
      <c r="N57" s="229">
        <f t="shared" si="2"/>
        <v>23.136930811197466</v>
      </c>
      <c r="O57" s="229">
        <f t="shared" si="3"/>
        <v>-0.8784179719323035</v>
      </c>
      <c r="P57" s="229" t="str">
        <f>IMDIV(IMSUM('Small Signal'!$B$48,IMPRODUCT(H57,'Small Signal'!$B$49)),IMSUM(IMPRODUCT('Small Signal'!$B$52,IMPOWER(H57,2)),IMSUM(IMPRODUCT(H57,'Small Signal'!$B$51),'Small Signal'!$B$50)))</f>
        <v>42.0690088570449-0.706496506968767i</v>
      </c>
      <c r="Q57" s="229">
        <f t="shared" si="4"/>
        <v>32.480470272306704</v>
      </c>
      <c r="R57" s="229">
        <f t="shared" si="5"/>
        <v>-0.9621206768603393</v>
      </c>
      <c r="S57" s="229" t="str">
        <f>IMPRODUCT(IMDIV(IMSUM(IMPRODUCT(H57,'Small Signal'!$B$33*'Small Signal'!$B$6*'Small Signal'!$B$27*'Small Signal'!$B$7*'Small Signal'!$B$8),'Small Signal'!$B$33*'Small Signal'!$B$6*'Small Signal'!$B$27),IMSUM(IMSUM(IMPRODUCT(H57,('Small Signal'!$B$5+'Small Signal'!$B$6)*('Small Signal'!$B$32*'Small Signal'!$B$33)+'Small Signal'!$B$5*'Small Signal'!$B$33*('Small Signal'!$B$8+'Small Signal'!$B$9)+'Small Signal'!$B$6*'Small Signal'!$B$33*('Small Signal'!$B$8+'Small Signal'!$B$9)+'Small Signal'!$B$7*'Small Signal'!$B$8*('Small Signal'!$B$5+'Small Signal'!$B$6)),'Small Signal'!$B$6+'Small Signal'!$B$5),IMPRODUCT(IMPOWER(H57,2),'Small Signal'!$B$32*'Small Signal'!$B$33*'Small Signal'!$B$8*'Small Signal'!$B$7*('Small Signal'!$B$5+'Small Signal'!$B$6)+('Small Signal'!$B$5+'Small Signal'!$B$6)*('Small Signal'!$B$9*'Small Signal'!$B$8*'Small Signal'!$B$33*'Small Signal'!$B$7)))),-1)</f>
        <v>-5.04377913261311+26.5060976654896i</v>
      </c>
      <c r="T57" s="229">
        <f t="shared" si="6"/>
        <v>28.621390876084128</v>
      </c>
      <c r="U57" s="229">
        <f t="shared" si="7"/>
        <v>100.77386499954736</v>
      </c>
      <c r="V57" s="229" t="str">
        <f t="shared" si="8"/>
        <v>-66.5376854642259+381.422700519684i</v>
      </c>
      <c r="W57" s="226">
        <f t="shared" si="9"/>
        <v>51.758321687281594</v>
      </c>
      <c r="X57" s="229">
        <f t="shared" si="10"/>
        <v>99.89544702761508</v>
      </c>
      <c r="Y57" s="229" t="str">
        <f t="shared" si="11"/>
        <v>-193.460323588838+1118.64866979429i</v>
      </c>
      <c r="Z57" s="226">
        <f t="shared" si="12"/>
        <v>61.10186114839082</v>
      </c>
      <c r="AA57" s="229">
        <f t="shared" si="13"/>
        <v>99.81174432268706</v>
      </c>
    </row>
    <row r="58" spans="6:27" ht="12.75">
      <c r="F58" s="78">
        <v>56</v>
      </c>
      <c r="G58" s="229">
        <f>10^('Small Signal'!F58/30)</f>
        <v>73.56422544596415</v>
      </c>
      <c r="H58" s="229" t="str">
        <f t="shared" si="1"/>
        <v>462.217660456129i</v>
      </c>
      <c r="I58" s="229">
        <f>IF('Small Signal'!$B$37&gt;=1,Q58+0,N58+0)</f>
        <v>23.1367690730934</v>
      </c>
      <c r="J58" s="229">
        <f>IF('Small Signal'!$B$37&gt;=1,R58,O58)</f>
        <v>-0.9484824139192829</v>
      </c>
      <c r="K58" s="229">
        <f>IF('Small Signal'!$B$37&gt;=1,Z58+0,W58+0)</f>
        <v>51.109378328463784</v>
      </c>
      <c r="L58" s="229">
        <f>IF('Small Signal'!$B$37&gt;=1,AA58,X58)</f>
        <v>99.20438296178445</v>
      </c>
      <c r="M58" s="229" t="str">
        <f>IMDIV(IMSUM('Small Signal'!$B$2*'Small Signal'!$B$16*'Small Signal'!$B$38,IMPRODUCT(H58,'Small Signal'!$B$2*'Small Signal'!$B$16*'Small Signal'!$B$38*'Small Signal'!$B$13*'Small Signal'!$B$14)),IMSUM(IMPRODUCT('Small Signal'!$B$11*'Small Signal'!$B$13*('Small Signal'!$B$14+'Small Signal'!$B$16),IMPOWER(H58,2)),IMSUM(IMPRODUCT(H58,('Small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14.347589547849-0.237533718951394i</v>
      </c>
      <c r="N58" s="229">
        <f t="shared" si="2"/>
        <v>23.1367690730934</v>
      </c>
      <c r="O58" s="229">
        <f t="shared" si="3"/>
        <v>-0.9484824139192829</v>
      </c>
      <c r="P58" s="229" t="str">
        <f>IMDIV(IMSUM('Small Signal'!$B$48,IMPRODUCT(H58,'Small Signal'!$B$49)),IMSUM(IMPRODUCT('Small Signal'!$B$52,IMPOWER(H58,2)),IMSUM(IMPRODUCT(H58,'Small Signal'!$B$51),'Small Signal'!$B$50)))</f>
        <v>42.0673877155513-0.762834298768334i</v>
      </c>
      <c r="Q58" s="229">
        <f t="shared" si="4"/>
        <v>32.48033873295681</v>
      </c>
      <c r="R58" s="229">
        <f t="shared" si="5"/>
        <v>-1.0388664089681139</v>
      </c>
      <c r="S58" s="229" t="str">
        <f>IMPRODUCT(IMDIV(IMSUM(IMPRODUCT(H58,'Small Signal'!$B$33*'Small Signal'!$B$6*'Small Signal'!$B$27*'Small Signal'!$B$7*'Small Signal'!$B$8),'Small Signal'!$B$33*'Small Signal'!$B$6*'Small Signal'!$B$27),IMSUM(IMSUM(IMPRODUCT(H58,('Small Signal'!$B$5+'Small Signal'!$B$6)*('Small Signal'!$B$32*'Small Signal'!$B$33)+'Small Signal'!$B$5*'Small Signal'!$B$33*('Small Signal'!$B$8+'Small Signal'!$B$9)+'Small Signal'!$B$6*'Small Signal'!$B$33*('Small Signal'!$B$8+'Small Signal'!$B$9)+'Small Signal'!$B$7*'Small Signal'!$B$8*('Small Signal'!$B$5+'Small Signal'!$B$6)),'Small Signal'!$B$6+'Small Signal'!$B$5),IMPRODUCT(IMPOWER(H58,2),'Small Signal'!$B$32*'Small Signal'!$B$33*'Small Signal'!$B$8*'Small Signal'!$B$7*('Small Signal'!$B$5+'Small Signal'!$B$6)+('Small Signal'!$B$5+'Small Signal'!$B$6)*('Small Signal'!$B$9*'Small Signal'!$B$8*'Small Signal'!$B$33*'Small Signal'!$B$7)))),-1)</f>
        <v>-4.41388744380014+24.6476783301951i</v>
      </c>
      <c r="T58" s="229">
        <f t="shared" si="6"/>
        <v>27.972609255370386</v>
      </c>
      <c r="U58" s="229">
        <f t="shared" si="7"/>
        <v>100.15286537570371</v>
      </c>
      <c r="V58" s="229" t="str">
        <f t="shared" si="8"/>
        <v>-57.4739906567599+354.68321908861i</v>
      </c>
      <c r="W58" s="226">
        <f t="shared" si="9"/>
        <v>51.109378328463784</v>
      </c>
      <c r="X58" s="229">
        <f t="shared" si="10"/>
        <v>99.20438296178445</v>
      </c>
      <c r="Y58" s="229" t="str">
        <f t="shared" si="11"/>
        <v>-166.878620015862+1040.23050533754i</v>
      </c>
      <c r="Z58" s="226">
        <f t="shared" si="12"/>
        <v>60.452947988327175</v>
      </c>
      <c r="AA58" s="229">
        <f t="shared" si="13"/>
        <v>99.11399896673561</v>
      </c>
    </row>
    <row r="59" spans="6:27" ht="12.75">
      <c r="F59" s="78">
        <v>57</v>
      </c>
      <c r="G59" s="229">
        <f>10^('Small Signal'!F59/30)</f>
        <v>79.4328234724282</v>
      </c>
      <c r="H59" s="229" t="str">
        <f t="shared" si="1"/>
        <v>499.091149349751i</v>
      </c>
      <c r="I59" s="229">
        <f>IF('Small Signal'!$B$37&gt;=1,Q59+0,N59+0)</f>
        <v>23.136580507902174</v>
      </c>
      <c r="J59" s="229">
        <f>IF('Small Signal'!$B$37&gt;=1,R59,O59)</f>
        <v>-1.0241332826685716</v>
      </c>
      <c r="K59" s="229">
        <f>IF('Small Signal'!$B$37&gt;=1,Z59+0,W59+0)</f>
        <v>50.45799812824022</v>
      </c>
      <c r="L59" s="229">
        <f>IF('Small Signal'!$B$37&gt;=1,AA59,X59)</f>
        <v>98.56411876160725</v>
      </c>
      <c r="M59" s="229" t="str">
        <f>IMDIV(IMSUM('Small Signal'!$B$2*'Small Signal'!$B$16*'Small Signal'!$B$38,IMPRODUCT(H59,'Small Signal'!$B$2*'Small Signal'!$B$16*'Small Signal'!$B$38*'Small Signal'!$B$13*'Small Signal'!$B$14)),IMSUM(IMPRODUCT('Small Signal'!$B$11*'Small Signal'!$B$13*('Small Signal'!$B$14+'Small Signal'!$B$16),IMPOWER(H59,2)),IMSUM(IMPRODUCT(H59,('Small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14.3469519456497-0.256471875078843i</v>
      </c>
      <c r="N59" s="229">
        <f t="shared" si="2"/>
        <v>23.136580507902174</v>
      </c>
      <c r="O59" s="229">
        <f t="shared" si="3"/>
        <v>-1.0241332826685716</v>
      </c>
      <c r="P59" s="229" t="str">
        <f>IMDIV(IMSUM('Small Signal'!$B$48,IMPRODUCT(H59,'Small Signal'!$B$49)),IMSUM(IMPRODUCT('Small Signal'!$B$52,IMPOWER(H59,2)),IMSUM(IMPRODUCT(H59,'Small Signal'!$B$51),'Small Signal'!$B$50)))</f>
        <v>42.0654977197956-0.823660472366723i</v>
      </c>
      <c r="Q59" s="229">
        <f t="shared" si="4"/>
        <v>32.48018537358724</v>
      </c>
      <c r="R59" s="229">
        <f t="shared" si="5"/>
        <v>-1.1217325765395065</v>
      </c>
      <c r="S59" s="229" t="str">
        <f>IMPRODUCT(IMDIV(IMSUM(IMPRODUCT(H59,'Small Signal'!$B$33*'Small Signal'!$B$6*'Small Signal'!$B$27*'Small Signal'!$B$7*'Small Signal'!$B$8),'Small Signal'!$B$33*'Small Signal'!$B$6*'Small Signal'!$B$27),IMSUM(IMSUM(IMPRODUCT(H59,('Small Signal'!$B$5+'Small Signal'!$B$6)*('Small Signal'!$B$32*'Small Signal'!$B$33)+'Small Signal'!$B$5*'Small Signal'!$B$33*('Small Signal'!$B$8+'Small Signal'!$B$9)+'Small Signal'!$B$6*'Small Signal'!$B$33*('Small Signal'!$B$8+'Small Signal'!$B$9)+'Small Signal'!$B$7*'Small Signal'!$B$8*('Small Signal'!$B$5+'Small Signal'!$B$6)),'Small Signal'!$B$6+'Small Signal'!$B$5),IMPRODUCT(IMPOWER(H59,2),'Small Signal'!$B$32*'Small Signal'!$B$33*'Small Signal'!$B$8*'Small Signal'!$B$7*('Small Signal'!$B$5+'Small Signal'!$B$6)+('Small Signal'!$B$5+'Small Signal'!$B$6)*('Small Signal'!$B$9*'Small Signal'!$B$8*'Small Signal'!$B$33*'Small Signal'!$B$7)))),-1)</f>
        <v>-3.86953460023119+22.9066248023295i</v>
      </c>
      <c r="T59" s="229">
        <f t="shared" si="6"/>
        <v>27.32141762033804</v>
      </c>
      <c r="U59" s="229">
        <f t="shared" si="7"/>
        <v>99.58825204427583</v>
      </c>
      <c r="V59" s="229" t="str">
        <f t="shared" si="8"/>
        <v>-49.6411219467647+329.632672070653i</v>
      </c>
      <c r="W59" s="226">
        <f t="shared" si="9"/>
        <v>50.45799812824022</v>
      </c>
      <c r="X59" s="229">
        <f t="shared" si="10"/>
        <v>98.56411876160725</v>
      </c>
      <c r="Y59" s="229" t="str">
        <f t="shared" si="11"/>
        <v>-143.906617497681+966.765756087271i</v>
      </c>
      <c r="Z59" s="226">
        <f t="shared" si="12"/>
        <v>59.801602993925286</v>
      </c>
      <c r="AA59" s="229">
        <f t="shared" si="13"/>
        <v>98.4665194677363</v>
      </c>
    </row>
    <row r="60" spans="6:27" ht="12.75">
      <c r="F60" s="78">
        <v>58</v>
      </c>
      <c r="G60" s="229">
        <f>10^('Small Signal'!F60/30)</f>
        <v>85.76958985908948</v>
      </c>
      <c r="H60" s="229" t="str">
        <f t="shared" si="1"/>
        <v>538.90622680545i</v>
      </c>
      <c r="I60" s="229">
        <f>IF('Small Signal'!$B$37&gt;=1,Q60+0,N60+0)</f>
        <v>23.136360667351568</v>
      </c>
      <c r="J60" s="229">
        <f>IF('Small Signal'!$B$37&gt;=1,R60,O60)</f>
        <v>-1.1058154661842585</v>
      </c>
      <c r="K60" s="229">
        <f>IF('Small Signal'!$B$37&gt;=1,Z60+0,W60+0)</f>
        <v>49.804517667149355</v>
      </c>
      <c r="L60" s="229">
        <f>IF('Small Signal'!$B$37&gt;=1,AA60,X60)</f>
        <v>97.97157121901444</v>
      </c>
      <c r="M60" s="229" t="str">
        <f>IMDIV(IMSUM('Small Signal'!$B$2*'Small Signal'!$B$16*'Small Signal'!$B$38,IMPRODUCT(H60,'Small Signal'!$B$2*'Small Signal'!$B$16*'Small Signal'!$B$38*'Small Signal'!$B$13*'Small Signal'!$B$14)),IMSUM(IMPRODUCT('Small Signal'!$B$11*'Small Signal'!$B$13*('Small Signal'!$B$14+'Small Signal'!$B$16),IMPOWER(H60,2)),IMSUM(IMPRODUCT(H60,('Small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14.346208625916-0.276917943904458i</v>
      </c>
      <c r="N60" s="229">
        <f t="shared" si="2"/>
        <v>23.136360667351568</v>
      </c>
      <c r="O60" s="229">
        <f t="shared" si="3"/>
        <v>-1.1058154661842585</v>
      </c>
      <c r="P60" s="229" t="str">
        <f>IMDIV(IMSUM('Small Signal'!$B$48,IMPRODUCT(H60,'Small Signal'!$B$49)),IMSUM(IMPRODUCT('Small Signal'!$B$52,IMPOWER(H60,2)),IMSUM(IMPRODUCT(H60,'Small Signal'!$B$51),'Small Signal'!$B$50)))</f>
        <v>42.0632943048189-0.889331542974679i</v>
      </c>
      <c r="Q60" s="229">
        <f t="shared" si="4"/>
        <v>32.4800065754705</v>
      </c>
      <c r="R60" s="229">
        <f t="shared" si="5"/>
        <v>-1.2112069289579561</v>
      </c>
      <c r="S60" s="229" t="str">
        <f>IMPRODUCT(IMDIV(IMSUM(IMPRODUCT(H60,'Small Signal'!$B$33*'Small Signal'!$B$6*'Small Signal'!$B$27*'Small Signal'!$B$7*'Small Signal'!$B$8),'Small Signal'!$B$33*'Small Signal'!$B$6*'Small Signal'!$B$27),IMSUM(IMSUM(IMPRODUCT(H60,('Small Signal'!$B$5+'Small Signal'!$B$6)*('Small Signal'!$B$32*'Small Signal'!$B$33)+'Small Signal'!$B$5*'Small Signal'!$B$33*('Small Signal'!$B$8+'Small Signal'!$B$9)+'Small Signal'!$B$6*'Small Signal'!$B$33*('Small Signal'!$B$8+'Small Signal'!$B$9)+'Small Signal'!$B$7*'Small Signal'!$B$8*('Small Signal'!$B$5+'Small Signal'!$B$6)),'Small Signal'!$B$6+'Small Signal'!$B$5),IMPRODUCT(IMPOWER(H60,2),'Small Signal'!$B$32*'Small Signal'!$B$33*'Small Signal'!$B$8*'Small Signal'!$B$7*('Small Signal'!$B$5+'Small Signal'!$B$6)+('Small Signal'!$B$5+'Small Signal'!$B$6)*('Small Signal'!$B$9*'Small Signal'!$B$8*'Small Signal'!$B$33*'Small Signal'!$B$7)))),-1)</f>
        <v>-3.39959922447441+21.2781793733502i</v>
      </c>
      <c r="T60" s="229">
        <f t="shared" si="6"/>
        <v>26.66815699979779</v>
      </c>
      <c r="U60" s="229">
        <f t="shared" si="7"/>
        <v>99.07738668519869</v>
      </c>
      <c r="V60" s="229" t="str">
        <f t="shared" si="8"/>
        <v>-42.8790500367137+306.202610497085i</v>
      </c>
      <c r="W60" s="226">
        <f t="shared" si="9"/>
        <v>49.804517667149355</v>
      </c>
      <c r="X60" s="229">
        <f t="shared" si="10"/>
        <v>97.97157121901444</v>
      </c>
      <c r="Y60" s="229" t="str">
        <f t="shared" si="11"/>
        <v>-124.074986603708+898.053692075754i</v>
      </c>
      <c r="Z60" s="226">
        <f t="shared" si="12"/>
        <v>59.148163575268285</v>
      </c>
      <c r="AA60" s="229">
        <f t="shared" si="13"/>
        <v>97.86617975624075</v>
      </c>
    </row>
    <row r="61" spans="6:27" ht="12.75">
      <c r="F61" s="78">
        <v>59</v>
      </c>
      <c r="G61" s="229">
        <f>10^('Small Signal'!F61/30)</f>
        <v>92.61187281287937</v>
      </c>
      <c r="H61" s="229" t="str">
        <f t="shared" si="1"/>
        <v>581.897558528268i</v>
      </c>
      <c r="I61" s="229">
        <f>IF('Small Signal'!$B$37&gt;=1,Q61+0,N61+0)</f>
        <v>23.13610436611672</v>
      </c>
      <c r="J61" s="229">
        <f>IF('Small Signal'!$B$37&gt;=1,R61,O61)</f>
        <v>-1.194009144238341</v>
      </c>
      <c r="K61" s="229">
        <f>IF('Small Signal'!$B$37&gt;=1,Z61+0,W61+0)</f>
        <v>49.149230210972696</v>
      </c>
      <c r="L61" s="229">
        <f>IF('Small Signal'!$B$37&gt;=1,AA61,X61)</f>
        <v>97.42380134845706</v>
      </c>
      <c r="M61" s="229" t="str">
        <f>IMDIV(IMSUM('Small Signal'!$B$2*'Small Signal'!$B$16*'Small Signal'!$B$38,IMPRODUCT(H61,'Small Signal'!$B$2*'Small Signal'!$B$16*'Small Signal'!$B$38*'Small Signal'!$B$13*'Small Signal'!$B$14)),IMSUM(IMPRODUCT('Small Signal'!$B$11*'Small Signal'!$B$13*('Small Signal'!$B$14+'Small Signal'!$B$16),IMPOWER(H61,2)),IMSUM(IMPRODUCT(H61,('Small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14.345342073674-0.298991473858035i</v>
      </c>
      <c r="N61" s="229">
        <f t="shared" si="2"/>
        <v>23.13610436611672</v>
      </c>
      <c r="O61" s="229">
        <f t="shared" si="3"/>
        <v>-1.194009144238341</v>
      </c>
      <c r="P61" s="229" t="str">
        <f>IMDIV(IMSUM('Small Signal'!$B$48,IMPRODUCT(H61,'Small Signal'!$B$49)),IMSUM(IMPRODUCT('Small Signal'!$B$52,IMPOWER(H61,2)),IMSUM(IMPRODUCT(H61,'Small Signal'!$B$51),'Small Signal'!$B$50)))</f>
        <v>42.0607255267176-0.960232066902084i</v>
      </c>
      <c r="Q61" s="229">
        <f t="shared" si="4"/>
        <v>32.4797981200288</v>
      </c>
      <c r="R61" s="229">
        <f t="shared" si="5"/>
        <v>-1.3078159940832332</v>
      </c>
      <c r="S61" s="229" t="str">
        <f>IMPRODUCT(IMDIV(IMSUM(IMPRODUCT(H61,'Small Signal'!$B$33*'Small Signal'!$B$6*'Small Signal'!$B$27*'Small Signal'!$B$7*'Small Signal'!$B$8),'Small Signal'!$B$33*'Small Signal'!$B$6*'Small Signal'!$B$27),IMSUM(IMSUM(IMPRODUCT(H61,('Small Signal'!$B$5+'Small Signal'!$B$6)*('Small Signal'!$B$32*'Small Signal'!$B$33)+'Small Signal'!$B$5*'Small Signal'!$B$33*('Small Signal'!$B$8+'Small Signal'!$B$9)+'Small Signal'!$B$6*'Small Signal'!$B$33*('Small Signal'!$B$8+'Small Signal'!$B$9)+'Small Signal'!$B$7*'Small Signal'!$B$8*('Small Signal'!$B$5+'Small Signal'!$B$6)),'Small Signal'!$B$6+'Small Signal'!$B$5),IMPRODUCT(IMPOWER(H61,2),'Small Signal'!$B$32*'Small Signal'!$B$33*'Small Signal'!$B$8*'Small Signal'!$B$7*('Small Signal'!$B$5+'Small Signal'!$B$6)+('Small Signal'!$B$5+'Small Signal'!$B$6)*('Small Signal'!$B$9*'Small Signal'!$B$8*'Small Signal'!$B$33*'Small Signal'!$B$7)))),-1)</f>
        <v>-2.99427622168058+19.757188939048i</v>
      </c>
      <c r="T61" s="229">
        <f t="shared" si="6"/>
        <v>26.01312584485598</v>
      </c>
      <c r="U61" s="229">
        <f t="shared" si="7"/>
        <v>98.61781049269538</v>
      </c>
      <c r="V61" s="229" t="str">
        <f t="shared" si="8"/>
        <v>-37.0466856228984+284.31889680551i</v>
      </c>
      <c r="W61" s="226">
        <f t="shared" si="9"/>
        <v>49.149230210972696</v>
      </c>
      <c r="X61" s="229">
        <f t="shared" si="10"/>
        <v>97.42380134845706</v>
      </c>
      <c r="Y61" s="229" t="str">
        <f t="shared" si="11"/>
        <v>-106.969943940167+833.876901190019i</v>
      </c>
      <c r="Z61" s="226">
        <f t="shared" si="12"/>
        <v>58.49292396488479</v>
      </c>
      <c r="AA61" s="229">
        <f t="shared" si="13"/>
        <v>97.30999449861217</v>
      </c>
    </row>
    <row r="62" spans="6:27" ht="12.75">
      <c r="F62" s="78">
        <v>60</v>
      </c>
      <c r="G62" s="229">
        <f>10^('Small Signal'!F62/30)</f>
        <v>100</v>
      </c>
      <c r="H62" s="229" t="str">
        <f t="shared" si="1"/>
        <v>628.318530717959i</v>
      </c>
      <c r="I62" s="229">
        <f>IF('Small Signal'!$B$37&gt;=1,Q62+0,N62+0)</f>
        <v>23.135805559884226</v>
      </c>
      <c r="J62" s="229">
        <f>IF('Small Signal'!$B$37&gt;=1,R62,O62)</f>
        <v>-1.2892325522592123</v>
      </c>
      <c r="K62" s="229">
        <f>IF('Small Signal'!$B$37&gt;=1,Z62+0,W62+0)</f>
        <v>48.492391032190554</v>
      </c>
      <c r="L62" s="229">
        <f>IF('Small Signal'!$B$37&gt;=1,AA62,X62)</f>
        <v>96.91802344705982</v>
      </c>
      <c r="M62" s="229" t="str">
        <f>IMDIV(IMSUM('Small Signal'!$B$2*'Small Signal'!$B$16*'Small Signal'!$B$38,IMPRODUCT(H62,'Small Signal'!$B$2*'Small Signal'!$B$16*'Small Signal'!$B$38*'Small Signal'!$B$13*'Small Signal'!$B$14)),IMSUM(IMPRODUCT('Small Signal'!$B$11*'Small Signal'!$B$13*('Small Signal'!$B$14+'Small Signal'!$B$16),IMPOWER(H62,2)),IMSUM(IMPRODUCT(H62,('Small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14.3443318769703-0.322821357610697i</v>
      </c>
      <c r="N62" s="229">
        <f t="shared" si="2"/>
        <v>23.135805559884226</v>
      </c>
      <c r="O62" s="229">
        <f t="shared" si="3"/>
        <v>-1.2892325522592123</v>
      </c>
      <c r="P62" s="229" t="str">
        <f>IMDIV(IMSUM('Small Signal'!$B$48,IMPRODUCT(H62,'Small Signal'!$B$49)),IMSUM(IMPRODUCT('Small Signal'!$B$52,IMPOWER(H62,2)),IMSUM(IMPRODUCT(H62,'Small Signal'!$B$51),'Small Signal'!$B$50)))</f>
        <v>42.0577308437656-1.03677677516132i</v>
      </c>
      <c r="Q62" s="229">
        <f t="shared" si="4"/>
        <v>32.4795550895077</v>
      </c>
      <c r="R62" s="229">
        <f t="shared" si="5"/>
        <v>-1.412128137716195</v>
      </c>
      <c r="S62" s="229" t="str">
        <f>IMPRODUCT(IMDIV(IMSUM(IMPRODUCT(H62,'Small Signal'!$B$33*'Small Signal'!$B$6*'Small Signal'!$B$27*'Small Signal'!$B$7*'Small Signal'!$B$8),'Small Signal'!$B$33*'Small Signal'!$B$6*'Small Signal'!$B$27),IMSUM(IMSUM(IMPRODUCT(H62,('Small Signal'!$B$5+'Small Signal'!$B$6)*('Small Signal'!$B$32*'Small Signal'!$B$33)+'Small Signal'!$B$5*'Small Signal'!$B$33*('Small Signal'!$B$8+'Small Signal'!$B$9)+'Small Signal'!$B$6*'Small Signal'!$B$33*('Small Signal'!$B$8+'Small Signal'!$B$9)+'Small Signal'!$B$7*'Small Signal'!$B$8*('Small Signal'!$B$5+'Small Signal'!$B$6)),'Small Signal'!$B$6+'Small Signal'!$B$5),IMPRODUCT(IMPOWER(H62,2),'Small Signal'!$B$32*'Small Signal'!$B$33*'Small Signal'!$B$8*'Small Signal'!$B$7*('Small Signal'!$B$5+'Small Signal'!$B$6)+('Small Signal'!$B$5+'Small Signal'!$B$6)*('Small Signal'!$B$9*'Small Signal'!$B$8*'Small Signal'!$B$33*'Small Signal'!$B$7)))),-1)</f>
        <v>-2.64495573470879+18.3382700845758i</v>
      </c>
      <c r="T62" s="229">
        <f t="shared" si="6"/>
        <v>25.35658547230635</v>
      </c>
      <c r="U62" s="229">
        <f t="shared" si="7"/>
        <v>98.20725599931902</v>
      </c>
      <c r="V62" s="229" t="str">
        <f t="shared" si="8"/>
        <v>-32.0201376136243+263.90408034377i</v>
      </c>
      <c r="W62" s="226">
        <f t="shared" si="9"/>
        <v>48.492391032190554</v>
      </c>
      <c r="X62" s="229">
        <f t="shared" si="10"/>
        <v>96.91802344705982</v>
      </c>
      <c r="Y62" s="229" t="str">
        <f t="shared" si="11"/>
        <v>-92.2281438637328+774.008256034443i</v>
      </c>
      <c r="Z62" s="226">
        <f t="shared" si="12"/>
        <v>57.83614056181405</v>
      </c>
      <c r="AA62" s="229">
        <f t="shared" si="13"/>
        <v>96.79512786160284</v>
      </c>
    </row>
    <row r="63" spans="6:27" ht="12.75">
      <c r="F63" s="78">
        <v>61</v>
      </c>
      <c r="G63" s="229">
        <f>10^('Small Signal'!F63/30)</f>
        <v>107.97751623277095</v>
      </c>
      <c r="H63" s="229" t="str">
        <f t="shared" si="1"/>
        <v>678.442743499492i</v>
      </c>
      <c r="I63" s="229">
        <f>IF('Small Signal'!$B$37&gt;=1,Q63+0,N63+0)</f>
        <v>23.135457203311447</v>
      </c>
      <c r="J63" s="229">
        <f>IF('Small Signal'!$B$37&gt;=1,R63,O63)</f>
        <v>-1.3920449524039262</v>
      </c>
      <c r="K63" s="229">
        <f>IF('Small Signal'!$B$37&gt;=1,Z63+0,W63+0)</f>
        <v>47.834222237146705</v>
      </c>
      <c r="L63" s="229">
        <f>IF('Small Signal'!$B$37&gt;=1,AA63,X63)</f>
        <v>96.45161012113853</v>
      </c>
      <c r="M63" s="229" t="str">
        <f>IMDIV(IMSUM('Small Signal'!$B$2*'Small Signal'!$B$16*'Small Signal'!$B$38,IMPRODUCT(H63,'Small Signal'!$B$2*'Small Signal'!$B$16*'Small Signal'!$B$38*'Small Signal'!$B$13*'Small Signal'!$B$14)),IMSUM(IMPRODUCT('Small Signal'!$B$11*'Small Signal'!$B$13*('Small Signal'!$B$14+'Small Signal'!$B$16),IMPOWER(H63,2)),IMSUM(IMPRODUCT(H63,('Small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14.3431542494528-0.348546527738862i</v>
      </c>
      <c r="N63" s="229">
        <f t="shared" si="2"/>
        <v>23.135457203311447</v>
      </c>
      <c r="O63" s="229">
        <f t="shared" si="3"/>
        <v>-1.3920449524039262</v>
      </c>
      <c r="P63" s="229" t="str">
        <f>IMDIV(IMSUM('Small Signal'!$B$48,IMPRODUCT(H63,'Small Signal'!$B$49)),IMSUM(IMPRODUCT('Small Signal'!$B$52,IMPOWER(H63,2)),IMSUM(IMPRODUCT(H63,'Small Signal'!$B$51),'Small Signal'!$B$50)))</f>
        <v>42.0542396972386-1.11941285059535i</v>
      </c>
      <c r="Q63" s="229">
        <f t="shared" si="4"/>
        <v>32.479271751240006</v>
      </c>
      <c r="R63" s="229">
        <f t="shared" si="5"/>
        <v>-1.5247568583208788</v>
      </c>
      <c r="S63" s="229" t="str">
        <f>IMPRODUCT(IMDIV(IMSUM(IMPRODUCT(H63,'Small Signal'!$B$33*'Small Signal'!$B$6*'Small Signal'!$B$27*'Small Signal'!$B$7*'Small Signal'!$B$8),'Small Signal'!$B$33*'Small Signal'!$B$6*'Small Signal'!$B$27),IMSUM(IMSUM(IMPRODUCT(H63,('Small Signal'!$B$5+'Small Signal'!$B$6)*('Small Signal'!$B$32*'Small Signal'!$B$33)+'Small Signal'!$B$5*'Small Signal'!$B$33*('Small Signal'!$B$8+'Small Signal'!$B$9)+'Small Signal'!$B$6*'Small Signal'!$B$33*('Small Signal'!$B$8+'Small Signal'!$B$9)+'Small Signal'!$B$7*'Small Signal'!$B$8*('Small Signal'!$B$5+'Small Signal'!$B$6)),'Small Signal'!$B$6+'Small Signal'!$B$5),IMPRODUCT(IMPOWER(H63,2),'Small Signal'!$B$32*'Small Signal'!$B$33*'Small Signal'!$B$8*'Small Signal'!$B$7*('Small Signal'!$B$5+'Small Signal'!$B$6)+('Small Signal'!$B$5+'Small Signal'!$B$6)*('Small Signal'!$B$9*'Small Signal'!$B$8*'Small Signal'!$B$33*'Small Signal'!$B$7)))),-1)</f>
        <v>-2.34410327992821+17.0159393919832i</v>
      </c>
      <c r="T63" s="229">
        <f t="shared" si="6"/>
        <v>24.698765033835276</v>
      </c>
      <c r="U63" s="229">
        <f t="shared" si="7"/>
        <v>97.84365507354245</v>
      </c>
      <c r="V63" s="229" t="str">
        <f t="shared" si="8"/>
        <v>-27.6909883293679+244.879272457435i</v>
      </c>
      <c r="W63" s="226">
        <f t="shared" si="9"/>
        <v>47.834222237146705</v>
      </c>
      <c r="X63" s="229">
        <f t="shared" si="10"/>
        <v>96.45161012113853</v>
      </c>
      <c r="Y63" s="229" t="str">
        <f t="shared" si="11"/>
        <v>-79.5316199888465+718.21641319882i</v>
      </c>
      <c r="Z63" s="226">
        <f t="shared" si="12"/>
        <v>57.17803678507528</v>
      </c>
      <c r="AA63" s="229">
        <f t="shared" si="13"/>
        <v>96.31889821522157</v>
      </c>
    </row>
    <row r="64" spans="6:27" ht="12.75">
      <c r="F64" s="78">
        <v>62</v>
      </c>
      <c r="G64" s="229">
        <f>10^('Small Signal'!F64/30)</f>
        <v>116.59144011798328</v>
      </c>
      <c r="H64" s="229" t="str">
        <f t="shared" si="1"/>
        <v>732.565623492221i</v>
      </c>
      <c r="I64" s="229">
        <f>IF('Small Signal'!$B$37&gt;=1,Q64+0,N64+0)</f>
        <v>23.135051084591083</v>
      </c>
      <c r="J64" s="229">
        <f>IF('Small Signal'!$B$37&gt;=1,R64,O64)</f>
        <v>-1.5030498249126756</v>
      </c>
      <c r="K64" s="229">
        <f>IF('Small Signal'!$B$37&gt;=1,Z64+0,W64+0)</f>
        <v>47.17491711359334</v>
      </c>
      <c r="L64" s="229">
        <f>IF('Small Signal'!$B$37&gt;=1,AA64,X64)</f>
        <v>96.02209415897467</v>
      </c>
      <c r="M64" s="229" t="str">
        <f>IMDIV(IMSUM('Small Signal'!$B$2*'Small Signal'!$B$16*'Small Signal'!$B$38,IMPRODUCT(H64,'Small Signal'!$B$2*'Small Signal'!$B$16*'Small Signal'!$B$38*'Small Signal'!$B$13*'Small Signal'!$B$14)),IMSUM(IMPRODUCT('Small Signal'!$B$11*'Small Signal'!$B$13*('Small Signal'!$B$14+'Small Signal'!$B$16),IMPOWER(H64,2)),IMSUM(IMPRODUCT(H64,('Small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14.3417814749-0.376316695059892i</v>
      </c>
      <c r="N64" s="229">
        <f t="shared" si="2"/>
        <v>23.135051084591083</v>
      </c>
      <c r="O64" s="229">
        <f t="shared" si="3"/>
        <v>-1.5030498249126756</v>
      </c>
      <c r="P64" s="229" t="str">
        <f>IMDIV(IMSUM('Small Signal'!$B$48,IMPRODUCT(H64,'Small Signal'!$B$49)),IMSUM(IMPRODUCT('Small Signal'!$B$52,IMPOWER(H64,2)),IMSUM(IMPRODUCT(H64,'Small Signal'!$B$51),'Small Signal'!$B$50)))</f>
        <v>42.05016985941-1.20862235311067i</v>
      </c>
      <c r="Q64" s="229">
        <f t="shared" si="4"/>
        <v>32.47894142280451</v>
      </c>
      <c r="R64" s="229">
        <f t="shared" si="5"/>
        <v>-1.6463643334976772</v>
      </c>
      <c r="S64" s="229" t="str">
        <f>IMPRODUCT(IMDIV(IMSUM(IMPRODUCT(H64,'Small Signal'!$B$33*'Small Signal'!$B$6*'Small Signal'!$B$27*'Small Signal'!$B$7*'Small Signal'!$B$8),'Small Signal'!$B$33*'Small Signal'!$B$6*'Small Signal'!$B$27),IMSUM(IMSUM(IMPRODUCT(H64,('Small Signal'!$B$5+'Small Signal'!$B$6)*('Small Signal'!$B$32*'Small Signal'!$B$33)+'Small Signal'!$B$5*'Small Signal'!$B$33*('Small Signal'!$B$8+'Small Signal'!$B$9)+'Small Signal'!$B$6*'Small Signal'!$B$33*('Small Signal'!$B$8+'Small Signal'!$B$9)+'Small Signal'!$B$7*'Small Signal'!$B$8*('Small Signal'!$B$5+'Small Signal'!$B$6)),'Small Signal'!$B$6+'Small Signal'!$B$5),IMPRODUCT(IMPOWER(H64,2),'Small Signal'!$B$32*'Small Signal'!$B$33*'Small Signal'!$B$8*'Small Signal'!$B$7*('Small Signal'!$B$5+'Small Signal'!$B$6)+('Small Signal'!$B$5+'Small Signal'!$B$6)*('Small Signal'!$B$9*'Small Signal'!$B$8*'Small Signal'!$B$33*'Small Signal'!$B$7)))),-1)</f>
        <v>-2.0851446174478+15.7847145916394i</v>
      </c>
      <c r="T64" s="229">
        <f t="shared" si="6"/>
        <v>24.039866029002237</v>
      </c>
      <c r="U64" s="229">
        <f t="shared" si="7"/>
        <v>97.52514398388736</v>
      </c>
      <c r="V64" s="229" t="str">
        <f t="shared" si="8"/>
        <v>-23.9646368194109+227.165602048118i</v>
      </c>
      <c r="W64" s="226">
        <f t="shared" si="9"/>
        <v>47.17491711359334</v>
      </c>
      <c r="X64" s="229">
        <f t="shared" si="10"/>
        <v>96.02209415897467</v>
      </c>
      <c r="Y64" s="229" t="str">
        <f t="shared" si="11"/>
        <v>-68.6029264521869+666.27008215486i</v>
      </c>
      <c r="Z64" s="226">
        <f t="shared" si="12"/>
        <v>56.51880745180675</v>
      </c>
      <c r="AA64" s="229">
        <f t="shared" si="13"/>
        <v>95.87877965038969</v>
      </c>
    </row>
    <row r="65" spans="6:27" ht="12.75">
      <c r="F65" s="78">
        <v>63</v>
      </c>
      <c r="G65" s="229">
        <f>10^('Small Signal'!F65/30)</f>
        <v>125.89254117941677</v>
      </c>
      <c r="H65" s="229" t="str">
        <f t="shared" si="1"/>
        <v>791.006165022012i</v>
      </c>
      <c r="I65" s="229">
        <f>IF('Small Signal'!$B$37&gt;=1,Q65+0,N65+0)</f>
        <v>23.13457763280028</v>
      </c>
      <c r="J65" s="229">
        <f>IF('Small Signal'!$B$37&gt;=1,R65,O65)</f>
        <v>-1.6228982930082698</v>
      </c>
      <c r="K65" s="229">
        <f>IF('Small Signal'!$B$37&gt;=1,Z65+0,W65+0)</f>
        <v>46.51464402555844</v>
      </c>
      <c r="L65" s="229">
        <f>IF('Small Signal'!$B$37&gt;=1,AA65,X65)</f>
        <v>95.62716798155299</v>
      </c>
      <c r="M65" s="229" t="str">
        <f>IMDIV(IMSUM('Small Signal'!$B$2*'Small Signal'!$B$16*'Small Signal'!$B$38,IMPRODUCT(H65,'Small Signal'!$B$2*'Small Signal'!$B$16*'Small Signal'!$B$38*'Small Signal'!$B$13*'Small Signal'!$B$14)),IMSUM(IMPRODUCT('Small Signal'!$B$11*'Small Signal'!$B$13*('Small Signal'!$B$14+'Small Signal'!$B$16),IMPOWER(H65,2)),IMSUM(IMPRODUCT(H65,('Small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14.3401812611621-0.406293129752146i</v>
      </c>
      <c r="N65" s="229">
        <f t="shared" si="2"/>
        <v>23.13457763280028</v>
      </c>
      <c r="O65" s="229">
        <f t="shared" si="3"/>
        <v>-1.6228982930082698</v>
      </c>
      <c r="P65" s="229" t="str">
        <f>IMDIV(IMSUM('Small Signal'!$B$48,IMPRODUCT(H65,'Small Signal'!$B$49)),IMSUM(IMPRODUCT('Small Signal'!$B$52,IMPOWER(H65,2)),IMSUM(IMPRODUCT(H65,'Small Signal'!$B$51),'Small Signal'!$B$50)))</f>
        <v>42.0454255110223-1.30492479619967i</v>
      </c>
      <c r="Q65" s="229">
        <f t="shared" si="4"/>
        <v>32.478556314942395</v>
      </c>
      <c r="R65" s="229">
        <f t="shared" si="5"/>
        <v>-1.7776652354316</v>
      </c>
      <c r="S65" s="229" t="str">
        <f>IMPRODUCT(IMDIV(IMSUM(IMPRODUCT(H65,'Small Signal'!$B$33*'Small Signal'!$B$6*'Small Signal'!$B$27*'Small Signal'!$B$7*'Small Signal'!$B$8),'Small Signal'!$B$33*'Small Signal'!$B$6*'Small Signal'!$B$27),IMSUM(IMSUM(IMPRODUCT(H65,('Small Signal'!$B$5+'Small Signal'!$B$6)*('Small Signal'!$B$32*'Small Signal'!$B$33)+'Small Signal'!$B$5*'Small Signal'!$B$33*('Small Signal'!$B$8+'Small Signal'!$B$9)+'Small Signal'!$B$6*'Small Signal'!$B$33*('Small Signal'!$B$8+'Small Signal'!$B$9)+'Small Signal'!$B$7*'Small Signal'!$B$8*('Small Signal'!$B$5+'Small Signal'!$B$6)),'Small Signal'!$B$6+'Small Signal'!$B$5),IMPRODUCT(IMPOWER(H65,2),'Small Signal'!$B$32*'Small Signal'!$B$33*'Small Signal'!$B$8*'Small Signal'!$B$7*('Small Signal'!$B$5+'Small Signal'!$B$6)+('Small Signal'!$B$5+'Small Signal'!$B$6)*('Small Signal'!$B$9*'Small Signal'!$B$8*'Small Signal'!$B$33*'Small Signal'!$B$7)))),-1)</f>
        <v>-1.86235760096441+14.6391915965387i</v>
      </c>
      <c r="T65" s="229">
        <f t="shared" si="6"/>
        <v>23.380066392758177</v>
      </c>
      <c r="U65" s="229">
        <f t="shared" si="7"/>
        <v>97.25006627456125</v>
      </c>
      <c r="V65" s="229" t="str">
        <f t="shared" si="8"/>
        <v>-20.7587426001336+210.685324109659i</v>
      </c>
      <c r="W65" s="226">
        <f t="shared" si="9"/>
        <v>46.51464402555844</v>
      </c>
      <c r="X65" s="229">
        <f t="shared" si="10"/>
        <v>95.62716798155299</v>
      </c>
      <c r="Y65" s="229" t="str">
        <f t="shared" si="11"/>
        <v>-59.2005736755941+617.941276426741i</v>
      </c>
      <c r="Z65" s="226">
        <f t="shared" si="12"/>
        <v>55.858622707700576</v>
      </c>
      <c r="AA65" s="229">
        <f t="shared" si="13"/>
        <v>95.47240103912965</v>
      </c>
    </row>
    <row r="66" spans="6:27" ht="12.75">
      <c r="F66" s="78">
        <v>64</v>
      </c>
      <c r="G66" s="229">
        <f>10^('Small Signal'!F66/30)</f>
        <v>135.93563908785265</v>
      </c>
      <c r="H66" s="229" t="str">
        <f aca="true" t="shared" si="14" ref="H66:H129">COMPLEX(0,G66*2*PI())</f>
        <v>854.108810238863i</v>
      </c>
      <c r="I66" s="229">
        <f>IF('Small Signal'!$B$37&gt;=1,Q66+0,N66+0)</f>
        <v>23.134025693602347</v>
      </c>
      <c r="J66" s="229">
        <f>IF('Small Signal'!$B$37&gt;=1,R66,O66)</f>
        <v>-1.7522927945559403</v>
      </c>
      <c r="K66" s="229">
        <f>IF('Small Signal'!$B$37&gt;=1,Z66+0,W66+0)</f>
        <v>45.85354989003995</v>
      </c>
      <c r="L66" s="229">
        <f>IF('Small Signal'!$B$37&gt;=1,AA66,X66)</f>
        <v>95.2646812714401</v>
      </c>
      <c r="M66" s="229" t="str">
        <f>IMDIV(IMSUM('Small Signal'!$B$2*'Small Signal'!$B$16*'Small Signal'!$B$38,IMPRODUCT(H66,'Small Signal'!$B$2*'Small Signal'!$B$16*'Small Signal'!$B$38*'Small Signal'!$B$13*'Small Signal'!$B$14)),IMSUM(IMPRODUCT('Small Signal'!$B$11*'Small Signal'!$B$13*('Small Signal'!$B$14+'Small Signal'!$B$16),IMPOWER(H66,2)),IMSUM(IMPRODUCT(H66,('Small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14.3383159890471-0.438649484542584i</v>
      </c>
      <c r="N66" s="229">
        <f aca="true" t="shared" si="15" ref="N66:N129">20*LOG(IMABS(M66))</f>
        <v>23.134025693602347</v>
      </c>
      <c r="O66" s="229">
        <f aca="true" t="shared" si="16" ref="O66:O129">(180/PI())*IMARGUMENT(M66)</f>
        <v>-1.7522927945559403</v>
      </c>
      <c r="P66" s="229" t="str">
        <f>IMDIV(IMSUM('Small Signal'!$B$48,IMPRODUCT(H66,'Small Signal'!$B$49)),IMSUM(IMPRODUCT('Small Signal'!$B$52,IMPOWER(H66,2)),IMSUM(IMPRODUCT(H66,'Small Signal'!$B$51),'Small Signal'!$B$50)))</f>
        <v>42.0398950046349-1.40887987598358i</v>
      </c>
      <c r="Q66" s="229">
        <f aca="true" t="shared" si="17" ref="Q66:Q129">20*LOG(IMABS(P66))</f>
        <v>32.47810734858918</v>
      </c>
      <c r="R66" s="229">
        <f aca="true" t="shared" si="18" ref="R66:R129">(180/PI())*IMARGUMENT(P66)</f>
        <v>-1.9194308331784824</v>
      </c>
      <c r="S66" s="229" t="str">
        <f>IMPRODUCT(IMDIV(IMSUM(IMPRODUCT(H66,'Small Signal'!$B$33*'Small Signal'!$B$6*'Small Signal'!$B$27*'Small Signal'!$B$7*'Small Signal'!$B$8),'Small Signal'!$B$33*'Small Signal'!$B$6*'Small Signal'!$B$27),IMSUM(IMSUM(IMPRODUCT(H66,('Small Signal'!$B$5+'Small Signal'!$B$6)*('Small Signal'!$B$32*'Small Signal'!$B$33)+'Small Signal'!$B$5*'Small Signal'!$B$33*('Small Signal'!$B$8+'Small Signal'!$B$9)+'Small Signal'!$B$6*'Small Signal'!$B$33*('Small Signal'!$B$8+'Small Signal'!$B$9)+'Small Signal'!$B$7*'Small Signal'!$B$8*('Small Signal'!$B$5+'Small Signal'!$B$6)),'Small Signal'!$B$6+'Small Signal'!$B$5),IMPRODUCT(IMPOWER(H66,2),'Small Signal'!$B$32*'Small Signal'!$B$33*'Small Signal'!$B$8*'Small Signal'!$B$7*('Small Signal'!$B$5+'Small Signal'!$B$6)+('Small Signal'!$B$5+'Small Signal'!$B$6)*('Small Signal'!$B$9*'Small Signal'!$B$8*'Small Signal'!$B$33*'Small Signal'!$B$7)))),-1)</f>
        <v>-1.67077228027319+13.5741018252096i</v>
      </c>
      <c r="T66" s="229">
        <f aca="true" t="shared" si="19" ref="T66:T129">20*LOG(IMABS(S66))</f>
        <v>22.719524196437607</v>
      </c>
      <c r="U66" s="229">
        <f aca="true" t="shared" si="20" ref="U66:U129">(180/PI())*IMARGUMENT(S66)</f>
        <v>97.01697406599604</v>
      </c>
      <c r="V66" s="229" t="str">
        <f aca="true" t="shared" si="21" ref="V66:V129">IMPRODUCT(M66,S66)</f>
        <v>-18.001788131541+195.362644636886i</v>
      </c>
      <c r="W66" s="226">
        <f aca="true" t="shared" si="22" ref="W66:W129">20*LOG(IMABS(V66))</f>
        <v>45.85354989003995</v>
      </c>
      <c r="X66" s="229">
        <f aca="true" t="shared" si="23" ref="X66:X129">(180/PI())*IMARGUMENT(V66)</f>
        <v>95.2646812714401</v>
      </c>
      <c r="Y66" s="229" t="str">
        <f aca="true" t="shared" si="24" ref="Y66:Y129">IMPRODUCT(P66,S66)</f>
        <v>-51.1148123432495+573.007732957063i</v>
      </c>
      <c r="Z66" s="226">
        <f aca="true" t="shared" si="25" ref="Z66:Z129">20*LOG(IMABS(Y66))</f>
        <v>55.19763154502678</v>
      </c>
      <c r="AA66" s="229">
        <f aca="true" t="shared" si="26" ref="AA66:AA129">(180/PI())*IMARGUMENT(Y66)</f>
        <v>95.09754323281754</v>
      </c>
    </row>
    <row r="67" spans="6:27" ht="12.75">
      <c r="F67" s="78">
        <v>65</v>
      </c>
      <c r="G67" s="229">
        <f>10^('Small Signal'!F67/30)</f>
        <v>146.77992676220697</v>
      </c>
      <c r="H67" s="229" t="str">
        <f t="shared" si="14"/>
        <v>922.245479221195i</v>
      </c>
      <c r="I67" s="229">
        <f>IF('Small Signal'!$B$37&gt;=1,Q67+0,N67+0)</f>
        <v>23.13338226816448</v>
      </c>
      <c r="J67" s="229">
        <f>IF('Small Signal'!$B$37&gt;=1,R67,O67)</f>
        <v>-1.8919910133664188</v>
      </c>
      <c r="K67" s="229">
        <f>IF('Small Signal'!$B$37&gt;=1,Z67+0,W67+0)</f>
        <v>45.19176327415239</v>
      </c>
      <c r="L67" s="229">
        <f>IF('Small Signal'!$B$37&gt;=1,AA67,X67)</f>
        <v>94.93263726559674</v>
      </c>
      <c r="M67" s="229" t="str">
        <f>IMDIV(IMSUM('Small Signal'!$B$2*'Small Signal'!$B$16*'Small Signal'!$B$38,IMPRODUCT(H67,'Small Signal'!$B$2*'Small Signal'!$B$16*'Small Signal'!$B$38*'Small Signal'!$B$13*'Small Signal'!$B$14)),IMSUM(IMPRODUCT('Small Signal'!$B$11*'Small Signal'!$B$13*('Small Signal'!$B$14+'Small Signal'!$B$16),IMPOWER(H67,2)),IMSUM(IMPRODUCT(H67,('Small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14.336141839486-0.473572658138554i</v>
      </c>
      <c r="N67" s="229">
        <f t="shared" si="15"/>
        <v>23.13338226816448</v>
      </c>
      <c r="O67" s="229">
        <f t="shared" si="16"/>
        <v>-1.8919910133664188</v>
      </c>
      <c r="P67" s="229" t="str">
        <f>IMDIV(IMSUM('Small Signal'!$B$48,IMPRODUCT(H67,'Small Signal'!$B$49)),IMSUM(IMPRODUCT('Small Signal'!$B$52,IMPOWER(H67,2)),IMSUM(IMPRODUCT(H67,'Small Signal'!$B$51),'Small Signal'!$B$50)))</f>
        <v>42.0334482634635-1.52109035133835i</v>
      </c>
      <c r="Q67" s="229">
        <f t="shared" si="17"/>
        <v>32.47758394179055</v>
      </c>
      <c r="R67" s="229">
        <f t="shared" si="18"/>
        <v>-2.072493400153901</v>
      </c>
      <c r="S67" s="229" t="str">
        <f>IMPRODUCT(IMDIV(IMSUM(IMPRODUCT(H67,'Small Signal'!$B$33*'Small Signal'!$B$6*'Small Signal'!$B$27*'Small Signal'!$B$7*'Small Signal'!$B$8),'Small Signal'!$B$33*'Small Signal'!$B$6*'Small Signal'!$B$27),IMSUM(IMSUM(IMPRODUCT(H67,('Small Signal'!$B$5+'Small Signal'!$B$6)*('Small Signal'!$B$32*'Small Signal'!$B$33)+'Small Signal'!$B$5*'Small Signal'!$B$33*('Small Signal'!$B$8+'Small Signal'!$B$9)+'Small Signal'!$B$6*'Small Signal'!$B$33*('Small Signal'!$B$8+'Small Signal'!$B$9)+'Small Signal'!$B$7*'Small Signal'!$B$8*('Small Signal'!$B$5+'Small Signal'!$B$6)),'Small Signal'!$B$6+'Small Signal'!$B$5),IMPRODUCT(IMPOWER(H67,2),'Small Signal'!$B$32*'Small Signal'!$B$33*'Small Signal'!$B$8*'Small Signal'!$B$7*('Small Signal'!$B$5+'Small Signal'!$B$6)+('Small Signal'!$B$5+'Small Signal'!$B$6)*('Small Signal'!$B$9*'Small Signal'!$B$8*'Small Signal'!$B$33*'Small Signal'!$B$7)))),-1)</f>
        <v>-1.50607982696762+12.5843535915007i</v>
      </c>
      <c r="T67" s="229">
        <f t="shared" si="19"/>
        <v>22.058381005987926</v>
      </c>
      <c r="U67" s="229">
        <f t="shared" si="20"/>
        <v>96.82462827896316</v>
      </c>
      <c r="V67" s="229" t="str">
        <f t="shared" si="21"/>
        <v>-15.6317682397139+181.124316273025i</v>
      </c>
      <c r="W67" s="226">
        <f t="shared" si="22"/>
        <v>45.19176327415239</v>
      </c>
      <c r="X67" s="229">
        <f t="shared" si="23"/>
        <v>94.93263726559674</v>
      </c>
      <c r="Y67" s="229" t="str">
        <f t="shared" si="24"/>
        <v>-44.1637896616277+531.254659110621i</v>
      </c>
      <c r="Z67" s="226">
        <f t="shared" si="25"/>
        <v>54.53596494777847</v>
      </c>
      <c r="AA67" s="229">
        <f t="shared" si="26"/>
        <v>94.75213487880927</v>
      </c>
    </row>
    <row r="68" spans="6:27" ht="12.75">
      <c r="F68" s="78">
        <v>66</v>
      </c>
      <c r="G68" s="229">
        <f>10^('Small Signal'!F68/30)</f>
        <v>158.48931924611153</v>
      </c>
      <c r="H68" s="229" t="str">
        <f t="shared" si="14"/>
        <v>995.817762032063i</v>
      </c>
      <c r="I68" s="229">
        <f>IF('Small Signal'!$B$37&gt;=1,Q68+0,N68+0)</f>
        <v>23.13263220934081</v>
      </c>
      <c r="J68" s="229">
        <f>IF('Small Signal'!$B$37&gt;=1,R68,O68)</f>
        <v>-2.0428100823148223</v>
      </c>
      <c r="K68" s="229">
        <f>IF('Small Signal'!$B$37&gt;=1,Z68+0,W68+0)</f>
        <v>44.52939715303642</v>
      </c>
      <c r="L68" s="229">
        <f>IF('Small Signal'!$B$37&gt;=1,AA68,X68)</f>
        <v>94.62918809991466</v>
      </c>
      <c r="M68" s="229" t="str">
        <f>IMDIV(IMSUM('Small Signal'!$B$2*'Small Signal'!$B$16*'Small Signal'!$B$38,IMPRODUCT(H68,'Small Signal'!$B$2*'Small Signal'!$B$16*'Small Signal'!$B$38*'Small Signal'!$B$13*'Small Signal'!$B$14)),IMSUM(IMPRODUCT('Small Signal'!$B$11*'Small Signal'!$B$13*('Small Signal'!$B$14+'Small Signal'!$B$16),IMPOWER(H68,2)),IMSUM(IMPRODUCT(H68,('Small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14.3336077798149-0.511263695623151i</v>
      </c>
      <c r="N68" s="229">
        <f t="shared" si="15"/>
        <v>23.13263220934081</v>
      </c>
      <c r="O68" s="229">
        <f t="shared" si="16"/>
        <v>-2.0428100823148223</v>
      </c>
      <c r="P68" s="229" t="str">
        <f>IMDIV(IMSUM('Small Signal'!$B$48,IMPRODUCT(H68,'Small Signal'!$B$49)),IMSUM(IMPRODUCT('Small Signal'!$B$52,IMPOWER(H68,2)),IMSUM(IMPRODUCT(H68,'Small Signal'!$B$51),'Small Signal'!$B$50)))</f>
        <v>42.0259337575866-1.64220507008583i</v>
      </c>
      <c r="Q68" s="229">
        <f t="shared" si="17"/>
        <v>32.476973761591445</v>
      </c>
      <c r="R68" s="229">
        <f t="shared" si="18"/>
        <v>-2.2377509454955815</v>
      </c>
      <c r="S68" s="229" t="str">
        <f>IMPRODUCT(IMDIV(IMSUM(IMPRODUCT(H68,'Small Signal'!$B$33*'Small Signal'!$B$6*'Small Signal'!$B$27*'Small Signal'!$B$7*'Small Signal'!$B$8),'Small Signal'!$B$33*'Small Signal'!$B$6*'Small Signal'!$B$27),IMSUM(IMSUM(IMPRODUCT(H68,('Small Signal'!$B$5+'Small Signal'!$B$6)*('Small Signal'!$B$32*'Small Signal'!$B$33)+'Small Signal'!$B$5*'Small Signal'!$B$33*('Small Signal'!$B$8+'Small Signal'!$B$9)+'Small Signal'!$B$6*'Small Signal'!$B$33*('Small Signal'!$B$8+'Small Signal'!$B$9)+'Small Signal'!$B$7*'Small Signal'!$B$8*('Small Signal'!$B$5+'Small Signal'!$B$6)),'Small Signal'!$B$6+'Small Signal'!$B$5),IMPRODUCT(IMPOWER(H68,2),'Small Signal'!$B$32*'Small Signal'!$B$33*'Small Signal'!$B$8*'Small Signal'!$B$7*('Small Signal'!$B$5+'Small Signal'!$B$6)+('Small Signal'!$B$5+'Small Signal'!$B$6)*('Small Signal'!$B$9*'Small Signal'!$B$8*'Small Signal'!$B$33*'Small Signal'!$B$7)))),-1)</f>
        <v>-1.36455036193162+11.6650607515908i</v>
      </c>
      <c r="T68" s="229">
        <f t="shared" si="19"/>
        <v>21.396764943695633</v>
      </c>
      <c r="U68" s="229">
        <f t="shared" si="20"/>
        <v>96.67199818222947</v>
      </c>
      <c r="V68" s="229" t="str">
        <f t="shared" si="21"/>
        <v>-13.5950076142054+167.90005060192i</v>
      </c>
      <c r="W68" s="226">
        <f t="shared" si="22"/>
        <v>44.52939715303642</v>
      </c>
      <c r="X68" s="229">
        <f t="shared" si="23"/>
        <v>94.62918809991466</v>
      </c>
      <c r="Y68" s="229" t="str">
        <f t="shared" si="24"/>
        <v>-38.1900812103074+492.47594194733i</v>
      </c>
      <c r="Z68" s="226">
        <f t="shared" si="25"/>
        <v>53.87373870528708</v>
      </c>
      <c r="AA68" s="229">
        <f t="shared" si="26"/>
        <v>94.4342472367339</v>
      </c>
    </row>
    <row r="69" spans="6:27" ht="12.75">
      <c r="F69" s="78">
        <v>67</v>
      </c>
      <c r="G69" s="229">
        <f>10^('Small Signal'!F69/30)</f>
        <v>171.13283041617817</v>
      </c>
      <c r="H69" s="229" t="str">
        <f t="shared" si="14"/>
        <v>1075.25928564699i</v>
      </c>
      <c r="I69" s="229">
        <f>IF('Small Signal'!$B$37&gt;=1,Q69+0,N69+0)</f>
        <v>23.131757868240683</v>
      </c>
      <c r="J69" s="229">
        <f>IF('Small Signal'!$B$37&gt;=1,R69,O69)</f>
        <v>-2.205631069240805</v>
      </c>
      <c r="K69" s="229">
        <f>IF('Small Signal'!$B$37&gt;=1,Z69+0,W69+0)</f>
        <v>43.866551368865316</v>
      </c>
      <c r="L69" s="229">
        <f>IF('Small Signal'!$B$37&gt;=1,AA69,X69)</f>
        <v>94.3526295101804</v>
      </c>
      <c r="M69" s="229" t="str">
        <f>IMDIV(IMSUM('Small Signal'!$B$2*'Small Signal'!$B$16*'Small Signal'!$B$38,IMPRODUCT(H69,'Small Signal'!$B$2*'Small Signal'!$B$16*'Small Signal'!$B$38*'Small Signal'!$B$13*'Small Signal'!$B$14)),IMSUM(IMPRODUCT('Small Signal'!$B$11*'Small Signal'!$B$13*('Small Signal'!$B$14+'Small Signal'!$B$16),IMPOWER(H69,2)),IMSUM(IMPRODUCT(H69,('Small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14.3306543872048-0.55193872063406i</v>
      </c>
      <c r="N69" s="229">
        <f t="shared" si="15"/>
        <v>23.131757868240683</v>
      </c>
      <c r="O69" s="229">
        <f t="shared" si="16"/>
        <v>-2.205631069240805</v>
      </c>
      <c r="P69" s="229" t="str">
        <f>IMDIV(IMSUM('Small Signal'!$B$48,IMPRODUCT(H69,'Small Signal'!$B$49)),IMSUM(IMPRODUCT('Small Signal'!$B$52,IMPOWER(H69,2)),IMSUM(IMPRODUCT(H69,'Small Signal'!$B$51),'Small Signal'!$B$50)))</f>
        <v>42.0171749905993-1.7729221314978i</v>
      </c>
      <c r="Q69" s="229">
        <f t="shared" si="17"/>
        <v>32.476262435205356</v>
      </c>
      <c r="R69" s="229">
        <f t="shared" si="18"/>
        <v>-2.416172288006705</v>
      </c>
      <c r="S69" s="229" t="str">
        <f>IMPRODUCT(IMDIV(IMSUM(IMPRODUCT(H69,'Small Signal'!$B$33*'Small Signal'!$B$6*'Small Signal'!$B$27*'Small Signal'!$B$7*'Small Signal'!$B$8),'Small Signal'!$B$33*'Small Signal'!$B$6*'Small Signal'!$B$27),IMSUM(IMSUM(IMPRODUCT(H69,('Small Signal'!$B$5+'Small Signal'!$B$6)*('Small Signal'!$B$32*'Small Signal'!$B$33)+'Small Signal'!$B$5*'Small Signal'!$B$33*('Small Signal'!$B$8+'Small Signal'!$B$9)+'Small Signal'!$B$6*'Small Signal'!$B$33*('Small Signal'!$B$8+'Small Signal'!$B$9)+'Small Signal'!$B$7*'Small Signal'!$B$8*('Small Signal'!$B$5+'Small Signal'!$B$6)),'Small Signal'!$B$6+'Small Signal'!$B$5),IMPRODUCT(IMPOWER(H69,2),'Small Signal'!$B$32*'Small Signal'!$B$33*'Small Signal'!$B$8*'Small Signal'!$B$7*('Small Signal'!$B$5+'Small Signal'!$B$6)+('Small Signal'!$B$5+'Small Signal'!$B$6)*('Small Signal'!$B$9*'Small Signal'!$B$8*'Small Signal'!$B$33*'Small Signal'!$B$7)))),-1)</f>
        <v>-1.24295943205804+10.8115612679088i</v>
      </c>
      <c r="T69" s="229">
        <f t="shared" si="19"/>
        <v>20.73479350062463</v>
      </c>
      <c r="U69" s="229">
        <f t="shared" si="20"/>
        <v>96.55826057942122</v>
      </c>
      <c r="V69" s="229" t="str">
        <f t="shared" si="21"/>
        <v>-11.8451027438738+155.622785355221i</v>
      </c>
      <c r="W69" s="226">
        <f t="shared" si="22"/>
        <v>43.866551368865316</v>
      </c>
      <c r="X69" s="229">
        <f t="shared" si="23"/>
        <v>94.3526295101804</v>
      </c>
      <c r="Y69" s="229" t="str">
        <f t="shared" si="24"/>
        <v>-33.0575877150787+456.474932000959i</v>
      </c>
      <c r="Z69" s="226">
        <f t="shared" si="25"/>
        <v>53.21105593582998</v>
      </c>
      <c r="AA69" s="229">
        <f t="shared" si="26"/>
        <v>94.14208829141451</v>
      </c>
    </row>
    <row r="70" spans="6:27" ht="12.75">
      <c r="F70" s="78">
        <v>68</v>
      </c>
      <c r="G70" s="229">
        <f>10^('Small Signal'!F70/30)</f>
        <v>184.7849797422291</v>
      </c>
      <c r="H70" s="229" t="str">
        <f t="shared" si="14"/>
        <v>1161.03826970385i</v>
      </c>
      <c r="I70" s="229">
        <f>IF('Small Signal'!$B$37&gt;=1,Q70+0,N70+0)</f>
        <v>23.1307386832319</v>
      </c>
      <c r="J70" s="229">
        <f>IF('Small Signal'!$B$37&gt;=1,R70,O70)</f>
        <v>-2.3814037547446745</v>
      </c>
      <c r="K70" s="229">
        <f>IF('Small Signal'!$B$37&gt;=1,Z70+0,W70+0)</f>
        <v>43.20331483022933</v>
      </c>
      <c r="L70" s="229">
        <f>IF('Small Signal'!$B$37&gt;=1,AA70,X70)</f>
        <v>94.10139512414766</v>
      </c>
      <c r="M70" s="229" t="str">
        <f>IMDIV(IMSUM('Small Signal'!$B$2*'Small Signal'!$B$16*'Small Signal'!$B$38,IMPRODUCT(H70,'Small Signal'!$B$2*'Small Signal'!$B$16*'Small Signal'!$B$38*'Small Signal'!$B$13*'Small Signal'!$B$14)),IMSUM(IMPRODUCT('Small Signal'!$B$11*'Small Signal'!$B$13*('Small Signal'!$B$14+'Small Signal'!$B$16),IMPOWER(H70,2)),IMSUM(IMPRODUCT(H70,('Small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14.3272124841186-0.595829891690571i</v>
      </c>
      <c r="N70" s="229">
        <f t="shared" si="15"/>
        <v>23.1307386832319</v>
      </c>
      <c r="O70" s="229">
        <f t="shared" si="16"/>
        <v>-2.3814037547446745</v>
      </c>
      <c r="P70" s="229" t="str">
        <f>IMDIV(IMSUM('Small Signal'!$B$48,IMPRODUCT(H70,'Small Signal'!$B$49)),IMSUM(IMPRODUCT('Small Signal'!$B$52,IMPOWER(H70,2)),IMSUM(IMPRODUCT(H70,'Small Signal'!$B$51),'Small Signal'!$B$50)))</f>
        <v>42.0069664198145-1.91399216916222i</v>
      </c>
      <c r="Q70" s="229">
        <f t="shared" si="17"/>
        <v>32.47543321386536</v>
      </c>
      <c r="R70" s="229">
        <f t="shared" si="18"/>
        <v>-2.6088024910561933</v>
      </c>
      <c r="S70" s="229" t="str">
        <f>IMPRODUCT(IMDIV(IMSUM(IMPRODUCT(H70,'Small Signal'!$B$33*'Small Signal'!$B$6*'Small Signal'!$B$27*'Small Signal'!$B$7*'Small Signal'!$B$8),'Small Signal'!$B$33*'Small Signal'!$B$6*'Small Signal'!$B$27),IMSUM(IMSUM(IMPRODUCT(H70,('Small Signal'!$B$5+'Small Signal'!$B$6)*('Small Signal'!$B$32*'Small Signal'!$B$33)+'Small Signal'!$B$5*'Small Signal'!$B$33*('Small Signal'!$B$8+'Small Signal'!$B$9)+'Small Signal'!$B$6*'Small Signal'!$B$33*('Small Signal'!$B$8+'Small Signal'!$B$9)+'Small Signal'!$B$7*'Small Signal'!$B$8*('Small Signal'!$B$5+'Small Signal'!$B$6)),'Small Signal'!$B$6+'Small Signal'!$B$5),IMPRODUCT(IMPOWER(H70,2),'Small Signal'!$B$32*'Small Signal'!$B$33*'Small Signal'!$B$8*'Small Signal'!$B$7*('Small Signal'!$B$5+'Small Signal'!$B$6)+('Small Signal'!$B$5+'Small Signal'!$B$6)*('Small Signal'!$B$9*'Small Signal'!$B$8*'Small Signal'!$B$33*'Small Signal'!$B$7)))),-1)</f>
        <v>-1.13852267255847+10.0194278833661i</v>
      </c>
      <c r="T70" s="229">
        <f t="shared" si="19"/>
        <v>20.07257614699741</v>
      </c>
      <c r="U70" s="229">
        <f t="shared" si="20"/>
        <v>96.48279887889232</v>
      </c>
      <c r="V70" s="229" t="str">
        <f t="shared" si="21"/>
        <v>-10.3419816171843+144.228838094967i</v>
      </c>
      <c r="W70" s="226">
        <f t="shared" si="22"/>
        <v>43.20331483022933</v>
      </c>
      <c r="X70" s="229">
        <f t="shared" si="23"/>
        <v>94.10139512414766</v>
      </c>
      <c r="Y70" s="229" t="str">
        <f t="shared" si="24"/>
        <v>-28.6487771661128+423.064894122003i</v>
      </c>
      <c r="Z70" s="226">
        <f t="shared" si="25"/>
        <v>52.548009360862764</v>
      </c>
      <c r="AA70" s="229">
        <f t="shared" si="26"/>
        <v>93.87399638783614</v>
      </c>
    </row>
    <row r="71" spans="6:27" ht="12.75">
      <c r="F71" s="78">
        <v>69</v>
      </c>
      <c r="G71" s="229">
        <f>10^('Small Signal'!F71/30)</f>
        <v>199.52623149688802</v>
      </c>
      <c r="H71" s="229" t="str">
        <f t="shared" si="14"/>
        <v>1253.66028613816i</v>
      </c>
      <c r="I71" s="229">
        <f>IF('Small Signal'!$B$37&gt;=1,Q71+0,N71+0)</f>
        <v>23.129550702212377</v>
      </c>
      <c r="J71" s="229">
        <f>IF('Small Signal'!$B$37&gt;=1,R71,O71)</f>
        <v>-2.5711517083118696</v>
      </c>
      <c r="K71" s="229">
        <f>IF('Small Signal'!$B$37&gt;=1,Z71+0,W71+0)</f>
        <v>42.53976748947842</v>
      </c>
      <c r="L71" s="229">
        <f>IF('Small Signal'!$B$37&gt;=1,AA71,X71)</f>
        <v>93.87405052050273</v>
      </c>
      <c r="M71" s="229" t="str">
        <f>IMDIV(IMSUM('Small Signal'!$B$2*'Small Signal'!$B$16*'Small Signal'!$B$38,IMPRODUCT(H71,'Small Signal'!$B$2*'Small Signal'!$B$16*'Small Signal'!$B$38*'Small Signal'!$B$13*'Small Signal'!$B$14)),IMSUM(IMPRODUCT('Small Signal'!$B$11*'Small Signal'!$B$13*('Small Signal'!$B$14+'Small Signal'!$B$16),IMPOWER(H71,2)),IMSUM(IMPRODUCT(H71,('Small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14.3232015571831-0.643186371882672i</v>
      </c>
      <c r="N71" s="229">
        <f t="shared" si="15"/>
        <v>23.129550702212377</v>
      </c>
      <c r="O71" s="229">
        <f t="shared" si="16"/>
        <v>-2.5711517083118696</v>
      </c>
      <c r="P71" s="229" t="str">
        <f>IMDIV(IMSUM('Small Signal'!$B$48,IMPRODUCT(H71,'Small Signal'!$B$49)),IMSUM(IMPRODUCT('Small Signal'!$B$52,IMPOWER(H71,2)),IMSUM(IMPRODUCT(H71,'Small Signal'!$B$51),'Small Signal'!$B$50)))</f>
        <v>41.9950687219064-2.06622173022577i</v>
      </c>
      <c r="Q71" s="229">
        <f t="shared" si="17"/>
        <v>32.474466581723156</v>
      </c>
      <c r="R71" s="229">
        <f t="shared" si="18"/>
        <v>-2.8167686759962507</v>
      </c>
      <c r="S71" s="229" t="str">
        <f>IMPRODUCT(IMDIV(IMSUM(IMPRODUCT(H71,'Small Signal'!$B$33*'Small Signal'!$B$6*'Small Signal'!$B$27*'Small Signal'!$B$7*'Small Signal'!$B$8),'Small Signal'!$B$33*'Small Signal'!$B$6*'Small Signal'!$B$27),IMSUM(IMSUM(IMPRODUCT(H71,('Small Signal'!$B$5+'Small Signal'!$B$6)*('Small Signal'!$B$32*'Small Signal'!$B$33)+'Small Signal'!$B$5*'Small Signal'!$B$33*('Small Signal'!$B$8+'Small Signal'!$B$9)+'Small Signal'!$B$6*'Small Signal'!$B$33*('Small Signal'!$B$8+'Small Signal'!$B$9)+'Small Signal'!$B$7*'Small Signal'!$B$8*('Small Signal'!$B$5+'Small Signal'!$B$6)),'Small Signal'!$B$6+'Small Signal'!$B$5),IMPRODUCT(IMPOWER(H71,2),'Small Signal'!$B$32*'Small Signal'!$B$33*'Small Signal'!$B$8*'Small Signal'!$B$7*('Small Signal'!$B$5+'Small Signal'!$B$6)+('Small Signal'!$B$5+'Small Signal'!$B$6)*('Small Signal'!$B$9*'Small Signal'!$B$8*'Small Signal'!$B$33*'Small Signal'!$B$7)))),-1)</f>
        <v>-1.0488380679603+9.2844726977782i</v>
      </c>
      <c r="T71" s="229">
        <f t="shared" si="19"/>
        <v>19.410216787266013</v>
      </c>
      <c r="U71" s="229">
        <f t="shared" si="20"/>
        <v>96.44520222881462</v>
      </c>
      <c r="V71" s="229" t="str">
        <f t="shared" si="21"/>
        <v>-9.0510727389142+133.657972154065i</v>
      </c>
      <c r="W71" s="226">
        <f t="shared" si="22"/>
        <v>42.53976748947842</v>
      </c>
      <c r="X71" s="229">
        <f t="shared" si="23"/>
        <v>93.87405052050273</v>
      </c>
      <c r="Y71" s="229" t="str">
        <f t="shared" si="24"/>
        <v>-24.8622475003071+392.069200997367i</v>
      </c>
      <c r="Z71" s="226">
        <f t="shared" si="25"/>
        <v>51.88468336898918</v>
      </c>
      <c r="AA71" s="229">
        <f t="shared" si="26"/>
        <v>93.62843355281835</v>
      </c>
    </row>
    <row r="72" spans="6:27" ht="12.75">
      <c r="F72" s="78">
        <v>70</v>
      </c>
      <c r="G72" s="229">
        <f>10^('Small Signal'!F72/30)</f>
        <v>215.44346900318848</v>
      </c>
      <c r="H72" s="229" t="str">
        <f t="shared" si="14"/>
        <v>1353.67123896863i</v>
      </c>
      <c r="I72" s="229">
        <f>IF('Small Signal'!$B$37&gt;=1,Q72+0,N72+0)</f>
        <v>23.128166027598812</v>
      </c>
      <c r="J72" s="229">
        <f>IF('Small Signal'!$B$37&gt;=1,R72,O72)</f>
        <v>-2.775977665452952</v>
      </c>
      <c r="K72" s="229">
        <f>IF('Small Signal'!$B$37&gt;=1,Z72+0,W72+0)</f>
        <v>41.87598213356782</v>
      </c>
      <c r="L72" s="229">
        <f>IF('Small Signal'!$B$37&gt;=1,AA72,X72)</f>
        <v>93.66928718077047</v>
      </c>
      <c r="M72" s="229" t="str">
        <f>IMDIV(IMSUM('Small Signal'!$B$2*'Small Signal'!$B$16*'Small Signal'!$B$38,IMPRODUCT(H72,'Small Signal'!$B$2*'Small Signal'!$B$16*'Small Signal'!$B$38*'Small Signal'!$B$13*'Small Signal'!$B$14)),IMSUM(IMPRODUCT('Small Signal'!$B$11*'Small Signal'!$B$13*('Small Signal'!$B$14+'Small Signal'!$B$16),IMPOWER(H72,2)),IMSUM(IMPRODUCT(H72,('Small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14.3185279270263-0.694275297118323i</v>
      </c>
      <c r="N72" s="229">
        <f t="shared" si="15"/>
        <v>23.128166027598812</v>
      </c>
      <c r="O72" s="229">
        <f t="shared" si="16"/>
        <v>-2.775977665452952</v>
      </c>
      <c r="P72" s="229" t="str">
        <f>IMDIV(IMSUM('Small Signal'!$B$48,IMPRODUCT(H72,'Small Signal'!$B$49)),IMSUM(IMPRODUCT('Small Signal'!$B$52,IMPOWER(H72,2)),IMSUM(IMPRODUCT(H72,'Small Signal'!$B$51),'Small Signal'!$B$50)))</f>
        <v>41.981203303349-2.23047671668003i</v>
      </c>
      <c r="Q72" s="229">
        <f t="shared" si="17"/>
        <v>32.47333980097095</v>
      </c>
      <c r="R72" s="229">
        <f t="shared" si="18"/>
        <v>-3.041286230198701</v>
      </c>
      <c r="S72" s="229" t="str">
        <f>IMPRODUCT(IMDIV(IMSUM(IMPRODUCT(H72,'Small Signal'!$B$33*'Small Signal'!$B$6*'Small Signal'!$B$27*'Small Signal'!$B$7*'Small Signal'!$B$8),'Small Signal'!$B$33*'Small Signal'!$B$6*'Small Signal'!$B$27),IMSUM(IMSUM(IMPRODUCT(H72,('Small Signal'!$B$5+'Small Signal'!$B$6)*('Small Signal'!$B$32*'Small Signal'!$B$33)+'Small Signal'!$B$5*'Small Signal'!$B$33*('Small Signal'!$B$8+'Small Signal'!$B$9)+'Small Signal'!$B$6*'Small Signal'!$B$33*('Small Signal'!$B$8+'Small Signal'!$B$9)+'Small Signal'!$B$7*'Small Signal'!$B$8*('Small Signal'!$B$5+'Small Signal'!$B$6)),'Small Signal'!$B$6+'Small Signal'!$B$5),IMPRODUCT(IMPOWER(H72,2),'Small Signal'!$B$32*'Small Signal'!$B$33*'Small Signal'!$B$8*'Small Signal'!$B$7*('Small Signal'!$B$5+'Small Signal'!$B$6)+('Small Signal'!$B$5+'Small Signal'!$B$6)*('Small Signal'!$B$9*'Small Signal'!$B$8*'Small Signal'!$B$33*'Small Signal'!$B$7)))),-1)</f>
        <v>-0.97183516432+8.60274709800664i</v>
      </c>
      <c r="T72" s="229">
        <f t="shared" si="19"/>
        <v>18.747816105968994</v>
      </c>
      <c r="U72" s="229">
        <f t="shared" si="20"/>
        <v>96.44526484622344</v>
      </c>
      <c r="V72" s="229" t="str">
        <f t="shared" si="21"/>
        <v>-7.94257414327976+123.853395719411i</v>
      </c>
      <c r="W72" s="226">
        <f t="shared" si="22"/>
        <v>41.87598213356782</v>
      </c>
      <c r="X72" s="229">
        <f t="shared" si="23"/>
        <v>93.66928718077047</v>
      </c>
      <c r="Y72" s="229" t="str">
        <f t="shared" si="24"/>
        <v>-21.610582509071+363.321330595179i</v>
      </c>
      <c r="Z72" s="226">
        <f t="shared" si="25"/>
        <v>51.22115590693994</v>
      </c>
      <c r="AA72" s="229">
        <f t="shared" si="26"/>
        <v>93.40397861602473</v>
      </c>
    </row>
    <row r="73" spans="6:27" ht="12.75">
      <c r="F73" s="78">
        <v>71</v>
      </c>
      <c r="G73" s="229">
        <f>10^('Small Signal'!F73/30)</f>
        <v>232.6305067153628</v>
      </c>
      <c r="H73" s="229" t="str">
        <f t="shared" si="14"/>
        <v>1461.66058179571i</v>
      </c>
      <c r="I73" s="229">
        <f>IF('Small Signal'!$B$37&gt;=1,Q73+0,N73+0)</f>
        <v>23.126552171913946</v>
      </c>
      <c r="J73" s="229">
        <f>IF('Small Signal'!$B$37&gt;=1,R73,O73)</f>
        <v>-2.997069203449227</v>
      </c>
      <c r="K73" s="229">
        <f>IF('Small Signal'!$B$37&gt;=1,Z73+0,W73+0)</f>
        <v>41.21202602177854</v>
      </c>
      <c r="L73" s="229">
        <f>IF('Small Signal'!$B$37&gt;=1,AA73,X73)</f>
        <v>93.48591641779484</v>
      </c>
      <c r="M73" s="229" t="str">
        <f>IMDIV(IMSUM('Small Signal'!$B$2*'Small Signal'!$B$16*'Small Signal'!$B$38,IMPRODUCT(H73,'Small Signal'!$B$2*'Small Signal'!$B$16*'Small Signal'!$B$38*'Small Signal'!$B$13*'Small Signal'!$B$14)),IMSUM(IMPRODUCT('Small Signal'!$B$11*'Small Signal'!$B$13*('Small Signal'!$B$14+'Small Signal'!$B$16),IMPOWER(H73,2)),IMSUM(IMPRODUCT(H73,('Small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14.3130826324723-0.749382723031124i</v>
      </c>
      <c r="N73" s="229">
        <f t="shared" si="15"/>
        <v>23.126552171913946</v>
      </c>
      <c r="O73" s="229">
        <f t="shared" si="16"/>
        <v>-2.997069203449227</v>
      </c>
      <c r="P73" s="229" t="str">
        <f>IMDIV(IMSUM('Small Signal'!$B$48,IMPRODUCT(H73,'Small Signal'!$B$49)),IMSUM(IMPRODUCT('Small Signal'!$B$52,IMPOWER(H73,2)),IMSUM(IMPRODUCT(H73,'Small Signal'!$B$51),'Small Signal'!$B$50)))</f>
        <v>41.9650459411252-2.40768584112812i</v>
      </c>
      <c r="Q73" s="229">
        <f t="shared" si="17"/>
        <v>32.47202638300189</v>
      </c>
      <c r="R73" s="229">
        <f t="shared" si="18"/>
        <v>-3.283665423522627</v>
      </c>
      <c r="S73" s="229" t="str">
        <f>IMPRODUCT(IMDIV(IMSUM(IMPRODUCT(H73,'Small Signal'!$B$33*'Small Signal'!$B$6*'Small Signal'!$B$27*'Small Signal'!$B$7*'Small Signal'!$B$8),'Small Signal'!$B$33*'Small Signal'!$B$6*'Small Signal'!$B$27),IMSUM(IMSUM(IMPRODUCT(H73,('Small Signal'!$B$5+'Small Signal'!$B$6)*('Small Signal'!$B$32*'Small Signal'!$B$33)+'Small Signal'!$B$5*'Small Signal'!$B$33*('Small Signal'!$B$8+'Small Signal'!$B$9)+'Small Signal'!$B$6*'Small Signal'!$B$33*('Small Signal'!$B$8+'Small Signal'!$B$9)+'Small Signal'!$B$7*'Small Signal'!$B$8*('Small Signal'!$B$5+'Small Signal'!$B$6)),'Small Signal'!$B$6+'Small Signal'!$B$5),IMPRODUCT(IMPOWER(H73,2),'Small Signal'!$B$32*'Small Signal'!$B$33*'Small Signal'!$B$8*'Small Signal'!$B$7*('Small Signal'!$B$5+'Small Signal'!$B$6)+('Small Signal'!$B$5+'Small Signal'!$B$6)*('Small Signal'!$B$9*'Small Signal'!$B$8*'Small Signal'!$B$33*'Small Signal'!$B$7)))),-1)</f>
        <v>-0.905730568190828+7.97053820846841i</v>
      </c>
      <c r="T73" s="229">
        <f t="shared" si="19"/>
        <v>18.085473849864634</v>
      </c>
      <c r="U73" s="229">
        <f t="shared" si="20"/>
        <v>96.48298562124404</v>
      </c>
      <c r="V73" s="229" t="str">
        <f t="shared" si="21"/>
        <v>-6.99081283858573+114.761710842609i</v>
      </c>
      <c r="W73" s="226">
        <f t="shared" si="22"/>
        <v>41.21202602177854</v>
      </c>
      <c r="X73" s="229">
        <f t="shared" si="23"/>
        <v>93.48591641779484</v>
      </c>
      <c r="Y73" s="229" t="str">
        <f t="shared" si="24"/>
        <v>-18.8184729137094+336.664716758781i</v>
      </c>
      <c r="Z73" s="226">
        <f t="shared" si="25"/>
        <v>50.55750023286653</v>
      </c>
      <c r="AA73" s="229">
        <f t="shared" si="26"/>
        <v>93.1993201977214</v>
      </c>
    </row>
    <row r="74" spans="6:27" ht="12.75">
      <c r="F74" s="78">
        <v>72</v>
      </c>
      <c r="G74" s="229">
        <f>10^('Small Signal'!F74/30)</f>
        <v>251.18864315095806</v>
      </c>
      <c r="H74" s="229" t="str">
        <f t="shared" si="14"/>
        <v>1578.26479197648i</v>
      </c>
      <c r="I74" s="229">
        <f>IF('Small Signal'!$B$37&gt;=1,Q74+0,N74+0)</f>
        <v>23.124671310093238</v>
      </c>
      <c r="J74" s="229">
        <f>IF('Small Signal'!$B$37&gt;=1,R74,O74)</f>
        <v>-3.235704706484965</v>
      </c>
      <c r="K74" s="229">
        <f>IF('Small Signal'!$B$37&gt;=1,Z74+0,W74+0)</f>
        <v>40.547962401521225</v>
      </c>
      <c r="L74" s="229">
        <f>IF('Small Signal'!$B$37&gt;=1,AA74,X74)</f>
        <v>93.32286332759016</v>
      </c>
      <c r="M74" s="229" t="str">
        <f>IMDIV(IMSUM('Small Signal'!$B$2*'Small Signal'!$B$16*'Small Signal'!$B$38,IMPRODUCT(H74,'Small Signal'!$B$2*'Small Signal'!$B$16*'Small Signal'!$B$38*'Small Signal'!$B$13*'Small Signal'!$B$14)),IMSUM(IMPRODUCT('Small Signal'!$B$11*'Small Signal'!$B$13*('Small Signal'!$B$14+'Small Signal'!$B$16),IMPOWER(H74,2)),IMSUM(IMPRODUCT(H74,('Small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14.3067389880683-0.808814524227093i</v>
      </c>
      <c r="N74" s="229">
        <f t="shared" si="15"/>
        <v>23.124671310093238</v>
      </c>
      <c r="O74" s="229">
        <f t="shared" si="16"/>
        <v>-3.235704706484965</v>
      </c>
      <c r="P74" s="229" t="str">
        <f>IMDIV(IMSUM('Small Signal'!$B$48,IMPRODUCT(H74,'Small Signal'!$B$49)),IMSUM(IMPRODUCT('Small Signal'!$B$52,IMPOWER(H74,2)),IMSUM(IMPRODUCT(H74,'Small Signal'!$B$51),'Small Signal'!$B$50)))</f>
        <v>41.9462194239836-2.5988440326427i</v>
      </c>
      <c r="Q74" s="229">
        <f t="shared" si="17"/>
        <v>32.470495473875786</v>
      </c>
      <c r="R74" s="229">
        <f t="shared" si="18"/>
        <v>-3.5453184436607916</v>
      </c>
      <c r="S74" s="229" t="str">
        <f>IMPRODUCT(IMDIV(IMSUM(IMPRODUCT(H74,'Small Signal'!$B$33*'Small Signal'!$B$6*'Small Signal'!$B$27*'Small Signal'!$B$7*'Small Signal'!$B$8),'Small Signal'!$B$33*'Small Signal'!$B$6*'Small Signal'!$B$27),IMSUM(IMSUM(IMPRODUCT(H74,('Small Signal'!$B$5+'Small Signal'!$B$6)*('Small Signal'!$B$32*'Small Signal'!$B$33)+'Small Signal'!$B$5*'Small Signal'!$B$33*('Small Signal'!$B$8+'Small Signal'!$B$9)+'Small Signal'!$B$6*'Small Signal'!$B$33*('Small Signal'!$B$8+'Small Signal'!$B$9)+'Small Signal'!$B$7*'Small Signal'!$B$8*('Small Signal'!$B$5+'Small Signal'!$B$6)),'Small Signal'!$B$6+'Small Signal'!$B$5),IMPRODUCT(IMPOWER(H74,2),'Small Signal'!$B$32*'Small Signal'!$B$33*'Small Signal'!$B$8*'Small Signal'!$B$7*('Small Signal'!$B$5+'Small Signal'!$B$6)+('Small Signal'!$B$5+'Small Signal'!$B$6)*('Small Signal'!$B$9*'Small Signal'!$B$8*'Small Signal'!$B$33*'Small Signal'!$B$7)))),-1)</f>
        <v>-0.848989080146441+7.38436279267445i</v>
      </c>
      <c r="T74" s="229">
        <f t="shared" si="19"/>
        <v>17.423291091428</v>
      </c>
      <c r="U74" s="229">
        <f t="shared" si="20"/>
        <v>96.55856803407511</v>
      </c>
      <c r="V74" s="229" t="str">
        <f t="shared" si="21"/>
        <v>-6.1736852944981+106.332825766929i</v>
      </c>
      <c r="W74" s="226">
        <f t="shared" si="22"/>
        <v>40.547962401521225</v>
      </c>
      <c r="X74" s="229">
        <f t="shared" si="23"/>
        <v>93.32286332759016</v>
      </c>
      <c r="Y74" s="229" t="str">
        <f t="shared" si="24"/>
        <v>-16.4210750657778+311.95249221254i</v>
      </c>
      <c r="Z74" s="226">
        <f t="shared" si="25"/>
        <v>49.89378656530377</v>
      </c>
      <c r="AA74" s="229">
        <f t="shared" si="26"/>
        <v>93.01324959041432</v>
      </c>
    </row>
    <row r="75" spans="6:27" ht="12.75">
      <c r="F75" s="78">
        <v>73</v>
      </c>
      <c r="G75" s="229">
        <f>10^('Small Signal'!F75/30)</f>
        <v>271.22725793320296</v>
      </c>
      <c r="H75" s="229" t="str">
        <f t="shared" si="14"/>
        <v>1704.17112195251i</v>
      </c>
      <c r="I75" s="229">
        <f>IF('Small Signal'!$B$37&gt;=1,Q75+0,N75+0)</f>
        <v>23.122479412666376</v>
      </c>
      <c r="J75" s="229">
        <f>IF('Small Signal'!$B$37&gt;=1,R75,O75)</f>
        <v>-3.4932596019871114</v>
      </c>
      <c r="K75" s="229">
        <f>IF('Small Signal'!$B$37&gt;=1,Z75+0,W75+0)</f>
        <v>39.88385193133831</v>
      </c>
      <c r="L75" s="229">
        <f>IF('Small Signal'!$B$37&gt;=1,AA75,X75)</f>
        <v>93.17916077851464</v>
      </c>
      <c r="M75" s="229" t="str">
        <f>IMDIV(IMSUM('Small Signal'!$B$2*'Small Signal'!$B$16*'Small Signal'!$B$38,IMPRODUCT(H75,'Small Signal'!$B$2*'Small Signal'!$B$16*'Small Signal'!$B$38*'Small Signal'!$B$13*'Small Signal'!$B$14)),IMSUM(IMPRODUCT('Small Signal'!$B$11*'Small Signal'!$B$13*('Small Signal'!$B$14+'Small Signal'!$B$16),IMPOWER(H75,2)),IMSUM(IMPRODUCT(H75,('Small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14.2993497693393-0.872897211492668i</v>
      </c>
      <c r="N75" s="229">
        <f t="shared" si="15"/>
        <v>23.122479412666376</v>
      </c>
      <c r="O75" s="229">
        <f t="shared" si="16"/>
        <v>-3.4932596019871114</v>
      </c>
      <c r="P75" s="229" t="str">
        <f>IMDIV(IMSUM('Small Signal'!$B$48,IMPRODUCT(H75,'Small Signal'!$B$49)),IMSUM(IMPRODUCT('Small Signal'!$B$52,IMPOWER(H75,2)),IMSUM(IMPRODUCT(H75,'Small Signal'!$B$51),'Small Signal'!$B$50)))</f>
        <v>41.9242850481334-2.80501570704702i</v>
      </c>
      <c r="Q75" s="229">
        <f t="shared" si="17"/>
        <v>32.468711140600526</v>
      </c>
      <c r="R75" s="229">
        <f t="shared" si="18"/>
        <v>-3.827766856075699</v>
      </c>
      <c r="S75" s="229" t="str">
        <f>IMPRODUCT(IMDIV(IMSUM(IMPRODUCT(H75,'Small Signal'!$B$33*'Small Signal'!$B$6*'Small Signal'!$B$27*'Small Signal'!$B$7*'Small Signal'!$B$8),'Small Signal'!$B$33*'Small Signal'!$B$6*'Small Signal'!$B$27),IMSUM(IMSUM(IMPRODUCT(H75,('Small Signal'!$B$5+'Small Signal'!$B$6)*('Small Signal'!$B$32*'Small Signal'!$B$33)+'Small Signal'!$B$5*'Small Signal'!$B$33*('Small Signal'!$B$8+'Small Signal'!$B$9)+'Small Signal'!$B$6*'Small Signal'!$B$33*('Small Signal'!$B$8+'Small Signal'!$B$9)+'Small Signal'!$B$7*'Small Signal'!$B$8*('Small Signal'!$B$5+'Small Signal'!$B$6)),'Small Signal'!$B$6+'Small Signal'!$B$5),IMPRODUCT(IMPOWER(H75,2),'Small Signal'!$B$32*'Small Signal'!$B$33*'Small Signal'!$B$8*'Small Signal'!$B$7*('Small Signal'!$B$5+'Small Signal'!$B$6)+('Small Signal'!$B$5+'Small Signal'!$B$6)*('Small Signal'!$B$9*'Small Signal'!$B$8*'Small Signal'!$B$33*'Small Signal'!$B$7)))),-1)</f>
        <v>-0.800289841647409+6.84095934266506i</v>
      </c>
      <c r="T75" s="229">
        <f t="shared" si="19"/>
        <v>16.761372518671934</v>
      </c>
      <c r="U75" s="229">
        <f t="shared" si="20"/>
        <v>96.67242038050175</v>
      </c>
      <c r="V75" s="229" t="str">
        <f t="shared" si="21"/>
        <v>-5.47217002841842+98.5198411697571i</v>
      </c>
      <c r="W75" s="226">
        <f t="shared" si="22"/>
        <v>39.88385193133831</v>
      </c>
      <c r="X75" s="229">
        <f t="shared" si="23"/>
        <v>93.17916077851464</v>
      </c>
      <c r="Y75" s="229" t="str">
        <f t="shared" si="24"/>
        <v>-14.362581034906+289.047155060592i</v>
      </c>
      <c r="Z75" s="226">
        <f t="shared" si="25"/>
        <v>49.23008365927245</v>
      </c>
      <c r="AA75" s="229">
        <f t="shared" si="26"/>
        <v>92.84465352442606</v>
      </c>
    </row>
    <row r="76" spans="6:27" ht="12.75">
      <c r="F76" s="78">
        <v>74</v>
      </c>
      <c r="G76" s="229">
        <f>10^('Small Signal'!F76/30)</f>
        <v>292.86445646252383</v>
      </c>
      <c r="H76" s="229" t="str">
        <f t="shared" si="14"/>
        <v>1840.12164984047i</v>
      </c>
      <c r="I76" s="229">
        <f>IF('Small Signal'!$B$37&gt;=1,Q76+0,N76+0)</f>
        <v>23.119925241793055</v>
      </c>
      <c r="J76" s="229">
        <f>IF('Small Signal'!$B$37&gt;=1,R76,O76)</f>
        <v>-3.7712128383396166</v>
      </c>
      <c r="K76" s="229">
        <f>IF('Small Signal'!$B$37&gt;=1,Z76+0,W76+0)</f>
        <v>39.21975403822284</v>
      </c>
      <c r="L76" s="229">
        <f>IF('Small Signal'!$B$37&gt;=1,AA76,X76)</f>
        <v>93.05394342138435</v>
      </c>
      <c r="M76" s="229" t="str">
        <f>IMDIV(IMSUM('Small Signal'!$B$2*'Small Signal'!$B$16*'Small Signal'!$B$38,IMPRODUCT(H76,'Small Signal'!$B$2*'Small Signal'!$B$16*'Small Signal'!$B$38*'Small Signal'!$B$13*'Small Signal'!$B$14)),IMSUM(IMPRODUCT('Small Signal'!$B$11*'Small Signal'!$B$13*('Small Signal'!$B$14+'Small Signal'!$B$16),IMPOWER(H76,2)),IMSUM(IMPRODUCT(H76,('Small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14.2907439755902-0.941978622534636i</v>
      </c>
      <c r="N76" s="229">
        <f t="shared" si="15"/>
        <v>23.119925241793055</v>
      </c>
      <c r="O76" s="229">
        <f t="shared" si="16"/>
        <v>-3.7712128383396166</v>
      </c>
      <c r="P76" s="229" t="str">
        <f>IMDIV(IMSUM('Small Signal'!$B$48,IMPRODUCT(H76,'Small Signal'!$B$49)),IMSUM(IMPRODUCT('Small Signal'!$B$52,IMPOWER(H76,2)),IMSUM(IMPRODUCT(H76,'Small Signal'!$B$51),'Small Signal'!$B$50)))</f>
        <v>41.8987328039513-3.02733778917271i</v>
      </c>
      <c r="Q76" s="229">
        <f t="shared" si="17"/>
        <v>32.466631542760936</v>
      </c>
      <c r="R76" s="229">
        <f t="shared" si="18"/>
        <v>-4.132649487750355</v>
      </c>
      <c r="S76" s="229" t="str">
        <f>IMPRODUCT(IMDIV(IMSUM(IMPRODUCT(H76,'Small Signal'!$B$33*'Small Signal'!$B$6*'Small Signal'!$B$27*'Small Signal'!$B$7*'Small Signal'!$B$8),'Small Signal'!$B$33*'Small Signal'!$B$6*'Small Signal'!$B$27),IMSUM(IMSUM(IMPRODUCT(H76,('Small Signal'!$B$5+'Small Signal'!$B$6)*('Small Signal'!$B$32*'Small Signal'!$B$33)+'Small Signal'!$B$5*'Small Signal'!$B$33*('Small Signal'!$B$8+'Small Signal'!$B$9)+'Small Signal'!$B$6*'Small Signal'!$B$33*('Small Signal'!$B$8+'Small Signal'!$B$9)+'Small Signal'!$B$7*'Small Signal'!$B$8*('Small Signal'!$B$5+'Small Signal'!$B$6)),'Small Signal'!$B$6+'Small Signal'!$B$5),IMPRODUCT(IMPOWER(H76,2),'Small Signal'!$B$32*'Small Signal'!$B$33*'Small Signal'!$B$8*'Small Signal'!$B$7*('Small Signal'!$B$5+'Small Signal'!$B$6)+('Small Signal'!$B$5+'Small Signal'!$B$6)*('Small Signal'!$B$9*'Small Signal'!$B$8*'Small Signal'!$B$33*'Small Signal'!$B$7)))),-1)</f>
        <v>-0.758496916134138+6.33727893525872i</v>
      </c>
      <c r="T76" s="229">
        <f t="shared" si="19"/>
        <v>16.09982879642979</v>
      </c>
      <c r="U76" s="229">
        <f t="shared" si="20"/>
        <v>96.82515625972395</v>
      </c>
      <c r="V76" s="229" t="str">
        <f t="shared" si="21"/>
        <v>-4.86990395269491+91.27891864594i</v>
      </c>
      <c r="W76" s="226">
        <f t="shared" si="22"/>
        <v>39.21975403822284</v>
      </c>
      <c r="X76" s="229">
        <f t="shared" si="23"/>
        <v>93.05394342138435</v>
      </c>
      <c r="Y76" s="229" t="str">
        <f t="shared" si="24"/>
        <v>-12.5949756204884+267.820183189698i</v>
      </c>
      <c r="Z76" s="226">
        <f t="shared" si="25"/>
        <v>48.56646033919073</v>
      </c>
      <c r="AA76" s="229">
        <f t="shared" si="26"/>
        <v>92.69250677197361</v>
      </c>
    </row>
    <row r="77" spans="6:27" ht="12.75">
      <c r="F77" s="78">
        <v>75</v>
      </c>
      <c r="G77" s="229">
        <f>10^('Small Signal'!F77/30)</f>
        <v>316.22776601683825</v>
      </c>
      <c r="H77" s="229" t="str">
        <f t="shared" si="14"/>
        <v>1986.91765315922i</v>
      </c>
      <c r="I77" s="229">
        <f>IF('Small Signal'!$B$37&gt;=1,Q77+0,N77+0)</f>
        <v>23.11694918975607</v>
      </c>
      <c r="J77" s="229">
        <f>IF('Small Signal'!$B$37&gt;=1,R77,O77)</f>
        <v>-4.071153559134862</v>
      </c>
      <c r="K77" s="229">
        <f>IF('Small Signal'!$B$37&gt;=1,Z77+0,W77+0)</f>
        <v>38.55572823443727</v>
      </c>
      <c r="L77" s="229">
        <f>IF('Small Signal'!$B$37&gt;=1,AA77,X77)</f>
        <v>92.94644167497637</v>
      </c>
      <c r="M77" s="229" t="str">
        <f>IMDIV(IMSUM('Small Signal'!$B$2*'Small Signal'!$B$16*'Small Signal'!$B$38,IMPRODUCT(H77,'Small Signal'!$B$2*'Small Signal'!$B$16*'Small Signal'!$B$38*'Small Signal'!$B$13*'Small Signal'!$B$14)),IMSUM(IMPRODUCT('Small Signal'!$B$11*'Small Signal'!$B$13*('Small Signal'!$B$14+'Small Signal'!$B$16),IMPOWER(H77,2)),IMSUM(IMPRODUCT(H77,('Small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14.2807231157648-1.01642842935379i</v>
      </c>
      <c r="N77" s="229">
        <f t="shared" si="15"/>
        <v>23.11694918975607</v>
      </c>
      <c r="O77" s="229">
        <f t="shared" si="16"/>
        <v>-4.071153559134862</v>
      </c>
      <c r="P77" s="229" t="str">
        <f>IMDIV(IMSUM('Small Signal'!$B$48,IMPRODUCT(H77,'Small Signal'!$B$49)),IMSUM(IMPRODUCT('Small Signal'!$B$52,IMPOWER(H77,2)),IMSUM(IMPRODUCT(H77,'Small Signal'!$B$51),'Small Signal'!$B$50)))</f>
        <v>41.8689700724663-3.26702234112392i</v>
      </c>
      <c r="Q77" s="229">
        <f t="shared" si="17"/>
        <v>32.4642079718068</v>
      </c>
      <c r="R77" s="229">
        <f t="shared" si="18"/>
        <v>-4.461730725288204</v>
      </c>
      <c r="S77" s="229" t="str">
        <f>IMPRODUCT(IMDIV(IMSUM(IMPRODUCT(H77,'Small Signal'!$B$33*'Small Signal'!$B$6*'Small Signal'!$B$27*'Small Signal'!$B$7*'Small Signal'!$B$8),'Small Signal'!$B$33*'Small Signal'!$B$6*'Small Signal'!$B$27),IMSUM(IMSUM(IMPRODUCT(H77,('Small Signal'!$B$5+'Small Signal'!$B$6)*('Small Signal'!$B$32*'Small Signal'!$B$33)+'Small Signal'!$B$5*'Small Signal'!$B$33*('Small Signal'!$B$8+'Small Signal'!$B$9)+'Small Signal'!$B$6*'Small Signal'!$B$33*('Small Signal'!$B$8+'Small Signal'!$B$9)+'Small Signal'!$B$7*'Small Signal'!$B$8*('Small Signal'!$B$5+'Small Signal'!$B$6)),'Small Signal'!$B$6+'Small Signal'!$B$5),IMPRODUCT(IMPOWER(H77,2),'Small Signal'!$B$32*'Small Signal'!$B$33*'Small Signal'!$B$8*'Small Signal'!$B$7*('Small Signal'!$B$5+'Small Signal'!$B$6)+('Small Signal'!$B$5+'Small Signal'!$B$6)*('Small Signal'!$B$9*'Small Signal'!$B$8*'Small Signal'!$B$33*'Small Signal'!$B$7)))),-1)</f>
        <v>-0.722633773051738+5.87047530613367i</v>
      </c>
      <c r="T77" s="229">
        <f t="shared" si="19"/>
        <v>15.438779044681208</v>
      </c>
      <c r="U77" s="229">
        <f t="shared" si="20"/>
        <v>97.01759523411123</v>
      </c>
      <c r="V77" s="229" t="str">
        <f t="shared" si="21"/>
        <v>-4.35281483207863+84.5691379157705i</v>
      </c>
      <c r="W77" s="226">
        <f t="shared" si="22"/>
        <v>38.55572823443727</v>
      </c>
      <c r="X77" s="229">
        <f t="shared" si="23"/>
        <v>92.94644167497637</v>
      </c>
      <c r="Y77" s="229" t="str">
        <f t="shared" si="24"/>
        <v>-11.0769578391016+248.151615584674i</v>
      </c>
      <c r="Z77" s="226">
        <f t="shared" si="25"/>
        <v>47.90298701648801</v>
      </c>
      <c r="AA77" s="229">
        <f t="shared" si="26"/>
        <v>92.555864508823</v>
      </c>
    </row>
    <row r="78" spans="6:27" ht="12.75">
      <c r="F78" s="78">
        <v>76</v>
      </c>
      <c r="G78" s="229">
        <f>10^('Small Signal'!F78/30)</f>
        <v>341.4548873833603</v>
      </c>
      <c r="H78" s="229" t="str">
        <f t="shared" si="14"/>
        <v>2145.42433147179i</v>
      </c>
      <c r="I78" s="229">
        <f>IF('Small Signal'!$B$37&gt;=1,Q78+0,N78+0)</f>
        <v>23.113481936952702</v>
      </c>
      <c r="J78" s="229">
        <f>IF('Small Signal'!$B$37&gt;=1,R78,O78)</f>
        <v>-4.394787909976263</v>
      </c>
      <c r="K78" s="229">
        <f>IF('Small Signal'!$B$37&gt;=1,Z78+0,W78+0)</f>
        <v>37.89183541707635</v>
      </c>
      <c r="L78" s="229">
        <f>IF('Small Signal'!$B$37&gt;=1,AA78,X78)</f>
        <v>92.85597561210659</v>
      </c>
      <c r="M78" s="229" t="str">
        <f>IMDIV(IMSUM('Small Signal'!$B$2*'Small Signal'!$B$16*'Small Signal'!$B$38,IMPRODUCT(H78,'Small Signal'!$B$2*'Small Signal'!$B$16*'Small Signal'!$B$38*'Small Signal'!$B$13*'Small Signal'!$B$14)),IMSUM(IMPRODUCT('Small Signal'!$B$11*'Small Signal'!$B$13*('Small Signal'!$B$14+'Small Signal'!$B$16),IMPOWER(H78,2)),IMSUM(IMPRODUCT(H78,('Small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14.2690569591969-1.0966383899802i</v>
      </c>
      <c r="N78" s="229">
        <f t="shared" si="15"/>
        <v>23.113481936952702</v>
      </c>
      <c r="O78" s="229">
        <f t="shared" si="16"/>
        <v>-4.394787909976263</v>
      </c>
      <c r="P78" s="229" t="str">
        <f>IMDIV(IMSUM('Small Signal'!$B$48,IMPRODUCT(H78,'Small Signal'!$B$49)),IMSUM(IMPRODUCT('Small Signal'!$B$52,IMPOWER(H78,2)),IMSUM(IMPRODUCT(H78,'Small Signal'!$B$51),'Small Signal'!$B$50)))</f>
        <v>41.8343086328381-3.52535860882527i</v>
      </c>
      <c r="Q78" s="229">
        <f t="shared" si="17"/>
        <v>32.4613837378486</v>
      </c>
      <c r="R78" s="229">
        <f t="shared" si="18"/>
        <v>-4.816909206434104</v>
      </c>
      <c r="S78" s="229" t="str">
        <f>IMPRODUCT(IMDIV(IMSUM(IMPRODUCT(H78,'Small Signal'!$B$33*'Small Signal'!$B$6*'Small Signal'!$B$27*'Small Signal'!$B$7*'Small Signal'!$B$8),'Small Signal'!$B$33*'Small Signal'!$B$6*'Small Signal'!$B$27),IMSUM(IMSUM(IMPRODUCT(H78,('Small Signal'!$B$5+'Small Signal'!$B$6)*('Small Signal'!$B$32*'Small Signal'!$B$33)+'Small Signal'!$B$5*'Small Signal'!$B$33*('Small Signal'!$B$8+'Small Signal'!$B$9)+'Small Signal'!$B$6*'Small Signal'!$B$33*('Small Signal'!$B$8+'Small Signal'!$B$9)+'Small Signal'!$B$7*'Small Signal'!$B$8*('Small Signal'!$B$5+'Small Signal'!$B$6)),'Small Signal'!$B$6+'Small Signal'!$B$5),IMPRODUCT(IMPOWER(H78,2),'Small Signal'!$B$32*'Small Signal'!$B$33*'Small Signal'!$B$8*'Small Signal'!$B$7*('Small Signal'!$B$5+'Small Signal'!$B$6)+('Small Signal'!$B$5+'Small Signal'!$B$6)*('Small Signal'!$B$9*'Small Signal'!$B$8*'Small Signal'!$B$33*'Small Signal'!$B$7)))),-1)</f>
        <v>-0.691861193338423+5.43789448981905i</v>
      </c>
      <c r="T78" s="229">
        <f t="shared" si="19"/>
        <v>14.778353480123645</v>
      </c>
      <c r="U78" s="229">
        <f t="shared" si="20"/>
        <v>97.25076352208285</v>
      </c>
      <c r="V78" s="229" t="str">
        <f t="shared" si="21"/>
        <v>-3.90880291740653+78.3523477584834i</v>
      </c>
      <c r="W78" s="226">
        <f t="shared" si="22"/>
        <v>37.89183541707635</v>
      </c>
      <c r="X78" s="229">
        <f t="shared" si="23"/>
        <v>92.85597561210659</v>
      </c>
      <c r="Y78" s="229" t="str">
        <f t="shared" si="24"/>
        <v>-9.77300653963617+229.929615213948i</v>
      </c>
      <c r="Z78" s="226">
        <f t="shared" si="25"/>
        <v>47.23973721797226</v>
      </c>
      <c r="AA78" s="229">
        <f t="shared" si="26"/>
        <v>92.43385431564876</v>
      </c>
    </row>
    <row r="79" spans="6:27" ht="12.75">
      <c r="F79" s="78">
        <v>77</v>
      </c>
      <c r="G79" s="229">
        <f>10^('Small Signal'!F79/30)</f>
        <v>368.6945064519578</v>
      </c>
      <c r="H79" s="229" t="str">
        <f t="shared" si="14"/>
        <v>2316.57590577677i</v>
      </c>
      <c r="I79" s="229">
        <f>IF('Small Signal'!$B$37&gt;=1,Q79+0,N79+0)</f>
        <v>23.10944290372268</v>
      </c>
      <c r="J79" s="229">
        <f>IF('Small Signal'!$B$37&gt;=1,R79,O79)</f>
        <v>-4.743945889601882</v>
      </c>
      <c r="K79" s="229">
        <f>IF('Small Signal'!$B$37&gt;=1,Z79+0,W79+0)</f>
        <v>37.22813917155942</v>
      </c>
      <c r="L79" s="229">
        <f>IF('Small Signal'!$B$37&gt;=1,AA79,X79)</f>
        <v>92.78194864096373</v>
      </c>
      <c r="M79" s="229" t="str">
        <f>IMDIV(IMSUM('Small Signal'!$B$2*'Small Signal'!$B$16*'Small Signal'!$B$38,IMPRODUCT(H79,'Small Signal'!$B$2*'Small Signal'!$B$16*'Small Signal'!$B$38*'Small Signal'!$B$13*'Small Signal'!$B$14)),IMSUM(IMPRODUCT('Small Signal'!$B$11*'Small Signal'!$B$13*('Small Signal'!$B$14+'Small Signal'!$B$16),IMPOWER(H79,2)),IMSUM(IMPRODUCT(H79,('Small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14.2554786906035-1.18302225347043i</v>
      </c>
      <c r="N79" s="229">
        <f t="shared" si="15"/>
        <v>23.10944290372268</v>
      </c>
      <c r="O79" s="229">
        <f t="shared" si="16"/>
        <v>-4.743945889601882</v>
      </c>
      <c r="P79" s="229" t="str">
        <f>IMDIV(IMSUM('Small Signal'!$B$48,IMPRODUCT(H79,'Small Signal'!$B$49)),IMSUM(IMPRODUCT('Small Signal'!$B$52,IMPOWER(H79,2)),IMSUM(IMPRODUCT(H79,'Small Signal'!$B$51),'Small Signal'!$B$50)))</f>
        <v>41.7939497658317-3.80371424741832i</v>
      </c>
      <c r="Q79" s="229">
        <f t="shared" si="17"/>
        <v>32.45809288109774</v>
      </c>
      <c r="R79" s="229">
        <f t="shared" si="18"/>
        <v>-5.200226869168043</v>
      </c>
      <c r="S79" s="229" t="str">
        <f>IMPRODUCT(IMDIV(IMSUM(IMPRODUCT(H79,'Small Signal'!$B$33*'Small Signal'!$B$6*'Small Signal'!$B$27*'Small Signal'!$B$7*'Small Signal'!$B$8),'Small Signal'!$B$33*'Small Signal'!$B$6*'Small Signal'!$B$27),IMSUM(IMSUM(IMPRODUCT(H79,('Small Signal'!$B$5+'Small Signal'!$B$6)*('Small Signal'!$B$32*'Small Signal'!$B$33)+'Small Signal'!$B$5*'Small Signal'!$B$33*('Small Signal'!$B$8+'Small Signal'!$B$9)+'Small Signal'!$B$6*'Small Signal'!$B$33*('Small Signal'!$B$8+'Small Signal'!$B$9)+'Small Signal'!$B$7*'Small Signal'!$B$8*('Small Signal'!$B$5+'Small Signal'!$B$6)),'Small Signal'!$B$6+'Small Signal'!$B$5),IMPRODUCT(IMPOWER(H79,2),'Small Signal'!$B$32*'Small Signal'!$B$33*'Small Signal'!$B$8*'Small Signal'!$B$7*('Small Signal'!$B$5+'Small Signal'!$B$6)+('Small Signal'!$B$5+'Small Signal'!$B$6)*('Small Signal'!$B$9*'Small Signal'!$B$8*'Small Signal'!$B$33*'Small Signal'!$B$7)))),-1)</f>
        <v>-0.665458164247166+5.03706429127706i</v>
      </c>
      <c r="T79" s="229">
        <f t="shared" si="19"/>
        <v>14.118696267836741</v>
      </c>
      <c r="U79" s="229">
        <f t="shared" si="20"/>
        <v>97.52589453056562</v>
      </c>
      <c r="V79" s="229" t="str">
        <f t="shared" si="21"/>
        <v>-3.52746553117158+72.5930144845579i</v>
      </c>
      <c r="W79" s="226">
        <f t="shared" si="22"/>
        <v>37.22813917155942</v>
      </c>
      <c r="X79" s="229">
        <f t="shared" si="23"/>
        <v>92.78194864096373</v>
      </c>
      <c r="Y79" s="229" t="str">
        <f t="shared" si="24"/>
        <v>-8.65257187791602+213.050024657306i</v>
      </c>
      <c r="Z79" s="226">
        <f t="shared" si="25"/>
        <v>46.57678914893449</v>
      </c>
      <c r="AA79" s="229">
        <f t="shared" si="26"/>
        <v>92.32566766139757</v>
      </c>
    </row>
    <row r="80" spans="6:27" ht="12.75">
      <c r="F80" s="78">
        <v>78</v>
      </c>
      <c r="G80" s="229">
        <f>10^('Small Signal'!F80/30)</f>
        <v>398.1071705534976</v>
      </c>
      <c r="H80" s="229" t="str">
        <f t="shared" si="14"/>
        <v>2501.38112470457i</v>
      </c>
      <c r="I80" s="229">
        <f>IF('Small Signal'!$B$37&gt;=1,Q80+0,N80+0)</f>
        <v>23.104738467573945</v>
      </c>
      <c r="J80" s="229">
        <f>IF('Small Signal'!$B$37&gt;=1,R80,O80)</f>
        <v>-5.120588126641183</v>
      </c>
      <c r="K80" s="229">
        <f>IF('Small Signal'!$B$37&gt;=1,Z80+0,W80+0)</f>
        <v>36.5647070978776</v>
      </c>
      <c r="L80" s="229">
        <f>IF('Small Signal'!$B$37&gt;=1,AA80,X80)</f>
        <v>92.7238408436051</v>
      </c>
      <c r="M80" s="229" t="str">
        <f>IMDIV(IMSUM('Small Signal'!$B$2*'Small Signal'!$B$16*'Small Signal'!$B$38,IMPRODUCT(H80,'Small Signal'!$B$2*'Small Signal'!$B$16*'Small Signal'!$B$38*'Small Signal'!$B$13*'Small Signal'!$B$14)),IMSUM(IMPRODUCT('Small Signal'!$B$11*'Small Signal'!$B$13*('Small Signal'!$B$14+'Small Signal'!$B$16),IMPOWER(H80,2)),IMSUM(IMPRODUCT(H80,('Small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14.239679408131-1.27601520418892i</v>
      </c>
      <c r="N80" s="229">
        <f t="shared" si="15"/>
        <v>23.104738467573945</v>
      </c>
      <c r="O80" s="229">
        <f t="shared" si="16"/>
        <v>-5.120588126641183</v>
      </c>
      <c r="P80" s="229" t="str">
        <f>IMDIV(IMSUM('Small Signal'!$B$48,IMPRODUCT(H80,'Small Signal'!$B$49)),IMSUM(IMPRODUCT('Small Signal'!$B$52,IMPOWER(H80,2)),IMSUM(IMPRODUCT(H80,'Small Signal'!$B$51),'Small Signal'!$B$50)))</f>
        <v>41.7469672250677-4.10353542240996i</v>
      </c>
      <c r="Q80" s="229">
        <f t="shared" si="17"/>
        <v>32.45425868214817</v>
      </c>
      <c r="R80" s="229">
        <f t="shared" si="18"/>
        <v>-5.613878303313146</v>
      </c>
      <c r="S80" s="229" t="str">
        <f>IMPRODUCT(IMDIV(IMSUM(IMPRODUCT(H80,'Small Signal'!$B$33*'Small Signal'!$B$6*'Small Signal'!$B$27*'Small Signal'!$B$7*'Small Signal'!$B$8),'Small Signal'!$B$33*'Small Signal'!$B$6*'Small Signal'!$B$27),IMSUM(IMSUM(IMPRODUCT(H80,('Small Signal'!$B$5+'Small Signal'!$B$6)*('Small Signal'!$B$32*'Small Signal'!$B$33)+'Small Signal'!$B$5*'Small Signal'!$B$33*('Small Signal'!$B$8+'Small Signal'!$B$9)+'Small Signal'!$B$6*'Small Signal'!$B$33*('Small Signal'!$B$8+'Small Signal'!$B$9)+'Small Signal'!$B$7*'Small Signal'!$B$8*('Small Signal'!$B$5+'Small Signal'!$B$6)),'Small Signal'!$B$6+'Small Signal'!$B$5),IMPRODUCT(IMPOWER(H80,2),'Small Signal'!$B$32*'Small Signal'!$B$33*'Small Signal'!$B$8*'Small Signal'!$B$7*('Small Signal'!$B$5+'Small Signal'!$B$6)+('Small Signal'!$B$5+'Small Signal'!$B$6)*('Small Signal'!$B$9*'Small Signal'!$B$8*'Small Signal'!$B$33*'Small Signal'!$B$7)))),-1)</f>
        <v>-0.642805378621418+4.66568378915396i</v>
      </c>
      <c r="T80" s="229">
        <f t="shared" si="19"/>
        <v>13.459968630303658</v>
      </c>
      <c r="U80" s="229">
        <f t="shared" si="20"/>
        <v>97.8444289702463</v>
      </c>
      <c r="V80" s="229" t="str">
        <f t="shared" si="21"/>
        <v>-3.19985906049303+67.2580708137216i</v>
      </c>
      <c r="W80" s="226">
        <f t="shared" si="22"/>
        <v>36.5647070978776</v>
      </c>
      <c r="X80" s="229">
        <f t="shared" si="23"/>
        <v>92.7238408436051</v>
      </c>
      <c r="Y80" s="229" t="str">
        <f t="shared" si="24"/>
        <v>-7.68937637484837+197.415922869229i</v>
      </c>
      <c r="Z80" s="226">
        <f t="shared" si="25"/>
        <v>45.91422731245184</v>
      </c>
      <c r="AA80" s="229">
        <f t="shared" si="26"/>
        <v>92.23055066693314</v>
      </c>
    </row>
    <row r="81" spans="6:27" ht="12.75">
      <c r="F81" s="78">
        <v>79</v>
      </c>
      <c r="G81" s="229">
        <f>10^('Small Signal'!F81/30)</f>
        <v>429.8662347082278</v>
      </c>
      <c r="H81" s="229" t="str">
        <f t="shared" si="14"/>
        <v>2700.92920997135i</v>
      </c>
      <c r="I81" s="229">
        <f>IF('Small Signal'!$B$37&gt;=1,Q81+0,N81+0)</f>
        <v>23.099259914630675</v>
      </c>
      <c r="J81" s="229">
        <f>IF('Small Signal'!$B$37&gt;=1,R81,O81)</f>
        <v>-5.526812425340377</v>
      </c>
      <c r="K81" s="229">
        <f>IF('Small Signal'!$B$37&gt;=1,Z81+0,W81+0)</f>
        <v>35.90161217554309</v>
      </c>
      <c r="L81" s="229">
        <f>IF('Small Signal'!$B$37&gt;=1,AA81,X81)</f>
        <v>92.68120179759356</v>
      </c>
      <c r="M81" s="229" t="str">
        <f>IMDIV(IMSUM('Small Signal'!$B$2*'Small Signal'!$B$16*'Small Signal'!$B$38,IMPRODUCT(H81,'Small Signal'!$B$2*'Small Signal'!$B$16*'Small Signal'!$B$38*'Small Signal'!$B$13*'Small Signal'!$B$14)),IMSUM(IMPRODUCT('Small Signal'!$B$11*'Small Signal'!$B$13*('Small Signal'!$B$14+'Small Signal'!$B$16),IMPOWER(H81,2)),IMSUM(IMPRODUCT(H81,('Small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14.2213019057338-1.37607270384733i</v>
      </c>
      <c r="N81" s="229">
        <f t="shared" si="15"/>
        <v>23.099259914630675</v>
      </c>
      <c r="O81" s="229">
        <f t="shared" si="16"/>
        <v>-5.526812425340377</v>
      </c>
      <c r="P81" s="229" t="str">
        <f>IMDIV(IMSUM('Small Signal'!$B$48,IMPRODUCT(H81,'Small Signal'!$B$49)),IMSUM(IMPRODUCT('Small Signal'!$B$52,IMPOWER(H81,2)),IMSUM(IMPRODUCT(H81,'Small Signal'!$B$51),'Small Signal'!$B$50)))</f>
        <v>41.6922878398782-4.42634540563498i</v>
      </c>
      <c r="Q81" s="229">
        <f t="shared" si="17"/>
        <v>32.44979194215681</v>
      </c>
      <c r="R81" s="229">
        <f t="shared" si="18"/>
        <v>-6.060220325105783</v>
      </c>
      <c r="S81" s="229" t="str">
        <f>IMPRODUCT(IMDIV(IMSUM(IMPRODUCT(H81,'Small Signal'!$B$33*'Small Signal'!$B$6*'Small Signal'!$B$27*'Small Signal'!$B$7*'Small Signal'!$B$8),'Small Signal'!$B$33*'Small Signal'!$B$6*'Small Signal'!$B$27),IMSUM(IMSUM(IMPRODUCT(H81,('Small Signal'!$B$5+'Small Signal'!$B$6)*('Small Signal'!$B$32*'Small Signal'!$B$33)+'Small Signal'!$B$5*'Small Signal'!$B$33*('Small Signal'!$B$8+'Small Signal'!$B$9)+'Small Signal'!$B$6*'Small Signal'!$B$33*('Small Signal'!$B$8+'Small Signal'!$B$9)+'Small Signal'!$B$7*'Small Signal'!$B$8*('Small Signal'!$B$5+'Small Signal'!$B$6)),'Small Signal'!$B$6+'Small Signal'!$B$5),IMPRODUCT(IMPOWER(H81,2),'Small Signal'!$B$32*'Small Signal'!$B$33*'Small Signal'!$B$8*'Small Signal'!$B$7*('Small Signal'!$B$5+'Small Signal'!$B$6)+('Small Signal'!$B$5+'Small Signal'!$B$6)*('Small Signal'!$B$9*'Small Signal'!$B$8*'Small Signal'!$B$33*'Small Signal'!$B$7)))),-1)</f>
        <v>-0.623370997952425+4.32161301882792i</v>
      </c>
      <c r="T81" s="229">
        <f t="shared" si="19"/>
        <v>12.802352260912414</v>
      </c>
      <c r="U81" s="229">
        <f t="shared" si="20"/>
        <v>98.20801422293394</v>
      </c>
      <c r="V81" s="229" t="str">
        <f t="shared" si="21"/>
        <v>-2.91829344935965+62.3167672751539i</v>
      </c>
      <c r="W81" s="226">
        <f t="shared" si="22"/>
        <v>35.90161217554309</v>
      </c>
      <c r="X81" s="229">
        <f t="shared" si="23"/>
        <v>92.68120179759356</v>
      </c>
      <c r="Y81" s="229" t="str">
        <f t="shared" si="24"/>
        <v>-6.86081114684335+182.937189266331i</v>
      </c>
      <c r="Z81" s="226">
        <f t="shared" si="25"/>
        <v>45.25214420306921</v>
      </c>
      <c r="AA81" s="229">
        <f t="shared" si="26"/>
        <v>92.14779389782817</v>
      </c>
    </row>
    <row r="82" spans="6:27" ht="12.75">
      <c r="F82" s="78">
        <v>80</v>
      </c>
      <c r="G82" s="229">
        <f>10^('Small Signal'!F82/30)</f>
        <v>464.1588833612782</v>
      </c>
      <c r="H82" s="229" t="str">
        <f t="shared" si="14"/>
        <v>2916.39627613247i</v>
      </c>
      <c r="I82" s="229">
        <f>IF('Small Signal'!$B$37&gt;=1,Q82+0,N82+0)</f>
        <v>23.09288109159469</v>
      </c>
      <c r="J82" s="229">
        <f>IF('Small Signal'!$B$37&gt;=1,R82,O82)</f>
        <v>-5.964859876608913</v>
      </c>
      <c r="K82" s="229">
        <f>IF('Small Signal'!$B$37&gt;=1,Z82+0,W82+0)</f>
        <v>35.238934179479635</v>
      </c>
      <c r="L82" s="229">
        <f>IF('Small Signal'!$B$37&gt;=1,AA82,X82)</f>
        <v>92.65364266703811</v>
      </c>
      <c r="M82" s="229" t="str">
        <f>IMDIV(IMSUM('Small Signal'!$B$2*'Small Signal'!$B$16*'Small Signal'!$B$38,IMPRODUCT(H82,'Small Signal'!$B$2*'Small Signal'!$B$16*'Small Signal'!$B$38*'Small Signal'!$B$13*'Small Signal'!$B$14)),IMSUM(IMPRODUCT('Small Signal'!$B$11*'Small Signal'!$B$13*('Small Signal'!$B$14+'Small Signal'!$B$16),IMPOWER(H82,2)),IMSUM(IMPRODUCT(H82,('Small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14.1999336880602-1.48366855696217i</v>
      </c>
      <c r="N82" s="229">
        <f t="shared" si="15"/>
        <v>23.09288109159469</v>
      </c>
      <c r="O82" s="229">
        <f t="shared" si="16"/>
        <v>-5.964859876608913</v>
      </c>
      <c r="P82" s="229" t="str">
        <f>IMDIV(IMSUM('Small Signal'!$B$48,IMPRODUCT(H82,'Small Signal'!$B$49)),IMSUM(IMPRODUCT('Small Signal'!$B$52,IMPOWER(H82,2)),IMSUM(IMPRODUCT(H82,'Small Signal'!$B$51),'Small Signal'!$B$50)))</f>
        <v>41.6286695142011-4.7737411906618i</v>
      </c>
      <c r="Q82" s="229">
        <f t="shared" si="17"/>
        <v>32.44458900071105</v>
      </c>
      <c r="R82" s="229">
        <f t="shared" si="18"/>
        <v>-6.54178166422029</v>
      </c>
      <c r="S82" s="229" t="str">
        <f>IMPRODUCT(IMDIV(IMSUM(IMPRODUCT(H82,'Small Signal'!$B$33*'Small Signal'!$B$6*'Small Signal'!$B$27*'Small Signal'!$B$7*'Small Signal'!$B$8),'Small Signal'!$B$33*'Small Signal'!$B$6*'Small Signal'!$B$27),IMSUM(IMSUM(IMPRODUCT(H82,('Small Signal'!$B$5+'Small Signal'!$B$6)*('Small Signal'!$B$32*'Small Signal'!$B$33)+'Small Signal'!$B$5*'Small Signal'!$B$33*('Small Signal'!$B$8+'Small Signal'!$B$9)+'Small Signal'!$B$6*'Small Signal'!$B$33*('Small Signal'!$B$8+'Small Signal'!$B$9)+'Small Signal'!$B$7*'Small Signal'!$B$8*('Small Signal'!$B$5+'Small Signal'!$B$6)),'Small Signal'!$B$6+'Small Signal'!$B$5),IMPRODUCT(IMPOWER(H82,2),'Small Signal'!$B$32*'Small Signal'!$B$33*'Small Signal'!$B$8*'Small Signal'!$B$7*('Small Signal'!$B$5+'Small Signal'!$B$6)+('Small Signal'!$B$5+'Small Signal'!$B$6)*('Small Signal'!$B$9*'Small Signal'!$B$8*'Small Signal'!$B$33*'Small Signal'!$B$7)))),-1)</f>
        <v>-0.606698379199415+4.00286294246653i</v>
      </c>
      <c r="T82" s="229">
        <f t="shared" si="19"/>
        <v>12.14605308788495</v>
      </c>
      <c r="U82" s="229">
        <f t="shared" si="20"/>
        <v>98.61850254364703</v>
      </c>
      <c r="V82" s="229" t="str">
        <f t="shared" si="21"/>
        <v>-2.67615486771863+57.7405276541963i</v>
      </c>
      <c r="W82" s="226">
        <f t="shared" si="22"/>
        <v>35.238934179479635</v>
      </c>
      <c r="X82" s="229">
        <f t="shared" si="23"/>
        <v>92.65364266703811</v>
      </c>
      <c r="Y82" s="229" t="str">
        <f t="shared" si="24"/>
        <v>-6.14741461346774+169.530079585674i</v>
      </c>
      <c r="Z82" s="226">
        <f t="shared" si="25"/>
        <v>44.590642088596006</v>
      </c>
      <c r="AA82" s="229">
        <f t="shared" si="26"/>
        <v>92.07672087942673</v>
      </c>
    </row>
    <row r="83" spans="6:27" ht="12.75">
      <c r="F83" s="78">
        <v>81</v>
      </c>
      <c r="G83" s="229">
        <f>10^('Small Signal'!F83/30)</f>
        <v>501.1872336272727</v>
      </c>
      <c r="H83" s="229" t="str">
        <f t="shared" si="14"/>
        <v>3149.05226247286i</v>
      </c>
      <c r="I83" s="229">
        <f>IF('Small Signal'!$B$37&gt;=1,Q83+0,N83+0)</f>
        <v>23.085455722426495</v>
      </c>
      <c r="J83" s="229">
        <f>IF('Small Signal'!$B$37&gt;=1,R83,O83)</f>
        <v>-6.437120273100719</v>
      </c>
      <c r="K83" s="229">
        <f>IF('Small Signal'!$B$37&gt;=1,Z83+0,W83+0)</f>
        <v>34.57676115416794</v>
      </c>
      <c r="L83" s="229">
        <f>IF('Small Signal'!$B$37&gt;=1,AA83,X83)</f>
        <v>92.64082730551017</v>
      </c>
      <c r="M83" s="229" t="str">
        <f>IMDIV(IMSUM('Small Signal'!$B$2*'Small Signal'!$B$16*'Small Signal'!$B$38,IMPRODUCT(H83,'Small Signal'!$B$2*'Small Signal'!$B$16*'Small Signal'!$B$38*'Small Signal'!$B$13*'Small Signal'!$B$14)),IMSUM(IMPRODUCT('Small Signal'!$B$11*'Small Signal'!$B$13*('Small Signal'!$B$14+'Small Signal'!$B$16),IMPOWER(H83,2)),IMSUM(IMPRODUCT(H83,('Small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14.175099179245-1.59929198682499i</v>
      </c>
      <c r="N83" s="229">
        <f t="shared" si="15"/>
        <v>23.085455722426495</v>
      </c>
      <c r="O83" s="229">
        <f t="shared" si="16"/>
        <v>-6.437120273100719</v>
      </c>
      <c r="P83" s="229" t="str">
        <f>IMDIV(IMSUM('Small Signal'!$B$48,IMPRODUCT(H83,'Small Signal'!$B$49)),IMSUM(IMPRODUCT('Small Signal'!$B$52,IMPOWER(H83,2)),IMSUM(IMPRODUCT(H83,'Small Signal'!$B$51),'Small Signal'!$B$50)))</f>
        <v>41.55467639955-5.14738753876257i</v>
      </c>
      <c r="Q83" s="229">
        <f t="shared" si="17"/>
        <v>32.438529455877294</v>
      </c>
      <c r="R83" s="229">
        <f t="shared" si="18"/>
        <v>-7.061272613953362</v>
      </c>
      <c r="S83" s="229" t="str">
        <f>IMPRODUCT(IMDIV(IMSUM(IMPRODUCT(H83,'Small Signal'!$B$33*'Small Signal'!$B$6*'Small Signal'!$B$27*'Small Signal'!$B$7*'Small Signal'!$B$8),'Small Signal'!$B$33*'Small Signal'!$B$6*'Small Signal'!$B$27),IMSUM(IMSUM(IMPRODUCT(H83,('Small Signal'!$B$5+'Small Signal'!$B$6)*('Small Signal'!$B$32*'Small Signal'!$B$33)+'Small Signal'!$B$5*'Small Signal'!$B$33*('Small Signal'!$B$8+'Small Signal'!$B$9)+'Small Signal'!$B$6*'Small Signal'!$B$33*('Small Signal'!$B$8+'Small Signal'!$B$9)+'Small Signal'!$B$7*'Small Signal'!$B$8*('Small Signal'!$B$5+'Small Signal'!$B$6)),'Small Signal'!$B$6+'Small Signal'!$B$5),IMPRODUCT(IMPOWER(H83,2),'Small Signal'!$B$32*'Small Signal'!$B$33*'Small Signal'!$B$8*'Small Signal'!$B$7*('Small Signal'!$B$5+'Small Signal'!$B$6)+('Small Signal'!$B$5+'Small Signal'!$B$6)*('Small Signal'!$B$9*'Small Signal'!$B$8*'Small Signal'!$B$33*'Small Signal'!$B$7)))),-1)</f>
        <v>-0.592395502256526+3.70758578127137i</v>
      </c>
      <c r="T83" s="229">
        <f t="shared" si="19"/>
        <v>11.491305431741434</v>
      </c>
      <c r="U83" s="229">
        <f t="shared" si="20"/>
        <v>99.0779475786109</v>
      </c>
      <c r="V83" s="229" t="str">
        <f t="shared" si="21"/>
        <v>-2.46775276737134+53.5028095448703i</v>
      </c>
      <c r="W83" s="226">
        <f t="shared" si="22"/>
        <v>34.57676115416794</v>
      </c>
      <c r="X83" s="229">
        <f t="shared" si="23"/>
        <v>92.64082730551017</v>
      </c>
      <c r="Y83" s="229" t="str">
        <f t="shared" si="24"/>
        <v>-5.53242254740929+157.116816590639i</v>
      </c>
      <c r="Z83" s="226">
        <f t="shared" si="25"/>
        <v>43.929834887618746</v>
      </c>
      <c r="AA83" s="229">
        <f t="shared" si="26"/>
        <v>92.01667496465754</v>
      </c>
    </row>
    <row r="84" spans="6:27" ht="12.75">
      <c r="F84" s="78">
        <v>82</v>
      </c>
      <c r="G84" s="229">
        <f>10^('Small Signal'!F84/30)</f>
        <v>541.1695265464643</v>
      </c>
      <c r="H84" s="229" t="str">
        <f t="shared" si="14"/>
        <v>3400.26841789008i</v>
      </c>
      <c r="I84" s="229">
        <f>IF('Small Signal'!$B$37&gt;=1,Q84+0,N84+0)</f>
        <v>23.076814352653777</v>
      </c>
      <c r="J84" s="229">
        <f>IF('Small Signal'!$B$37&gt;=1,R84,O84)</f>
        <v>-6.946136496981559</v>
      </c>
      <c r="K84" s="229">
        <f>IF('Small Signal'!$B$37&gt;=1,Z84+0,W84+0)</f>
        <v>33.915190946735464</v>
      </c>
      <c r="L84" s="229">
        <f>IF('Small Signal'!$B$37&gt;=1,AA84,X84)</f>
        <v>92.64246206571111</v>
      </c>
      <c r="M84" s="229" t="str">
        <f>IMDIV(IMSUM('Small Signal'!$B$2*'Small Signal'!$B$16*'Small Signal'!$B$38,IMPRODUCT(H84,'Small Signal'!$B$2*'Small Signal'!$B$16*'Small Signal'!$B$38*'Small Signal'!$B$13*'Small Signal'!$B$14)),IMSUM(IMPRODUCT('Small Signal'!$B$11*'Small Signal'!$B$13*('Small Signal'!$B$14+'Small Signal'!$B$16),IMPOWER(H84,2)),IMSUM(IMPRODUCT(H84,('Small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14.1462511090337-1.72344346450462i</v>
      </c>
      <c r="N84" s="229">
        <f t="shared" si="15"/>
        <v>23.076814352653777</v>
      </c>
      <c r="O84" s="229">
        <f t="shared" si="16"/>
        <v>-6.946136496981559</v>
      </c>
      <c r="P84" s="229" t="str">
        <f>IMDIV(IMSUM('Small Signal'!$B$48,IMPRODUCT(H84,'Small Signal'!$B$49)),IMSUM(IMPRODUCT('Small Signal'!$B$52,IMPOWER(H84,2)),IMSUM(IMPRODUCT(H84,'Small Signal'!$B$51),'Small Signal'!$B$50)))</f>
        <v>41.4686510526796-5.54900773163777i</v>
      </c>
      <c r="Q84" s="229">
        <f t="shared" si="17"/>
        <v>32.43147354775972</v>
      </c>
      <c r="R84" s="229">
        <f t="shared" si="18"/>
        <v>-7.621594447082679</v>
      </c>
      <c r="S84" s="229" t="str">
        <f>IMPRODUCT(IMDIV(IMSUM(IMPRODUCT(H84,'Small Signal'!$B$33*'Small Signal'!$B$6*'Small Signal'!$B$27*'Small Signal'!$B$7*'Small Signal'!$B$8),'Small Signal'!$B$33*'Small Signal'!$B$6*'Small Signal'!$B$27),IMSUM(IMSUM(IMPRODUCT(H84,('Small Signal'!$B$5+'Small Signal'!$B$6)*('Small Signal'!$B$32*'Small Signal'!$B$33)+'Small Signal'!$B$5*'Small Signal'!$B$33*('Small Signal'!$B$8+'Small Signal'!$B$9)+'Small Signal'!$B$6*'Small Signal'!$B$33*('Small Signal'!$B$8+'Small Signal'!$B$9)+'Small Signal'!$B$7*'Small Signal'!$B$8*('Small Signal'!$B$5+'Small Signal'!$B$6)),'Small Signal'!$B$6+'Small Signal'!$B$5),IMPRODUCT(IMPOWER(H84,2),'Small Signal'!$B$32*'Small Signal'!$B$33*'Small Signal'!$B$8*'Small Signal'!$B$7*('Small Signal'!$B$5+'Small Signal'!$B$6)+('Small Signal'!$B$5+'Small Signal'!$B$6)*('Small Signal'!$B$9*'Small Signal'!$B$8*'Small Signal'!$B$33*'Small Signal'!$B$7)))),-1)</f>
        <v>-0.580125868110534+3.43406576016975i</v>
      </c>
      <c r="T84" s="229">
        <f t="shared" si="19"/>
        <v>10.838376594081682</v>
      </c>
      <c r="U84" s="229">
        <f t="shared" si="20"/>
        <v>99.58859856269267</v>
      </c>
      <c r="V84" s="229" t="str">
        <f t="shared" si="21"/>
        <v>-2.28818801409413+49.5789707042812i</v>
      </c>
      <c r="W84" s="226">
        <f t="shared" si="22"/>
        <v>33.915190946735464</v>
      </c>
      <c r="X84" s="229">
        <f t="shared" si="23"/>
        <v>92.64246206571111</v>
      </c>
      <c r="Y84" s="229" t="str">
        <f t="shared" si="24"/>
        <v>-5.00137973717408+145.625197627903i</v>
      </c>
      <c r="Z84" s="226">
        <f t="shared" si="25"/>
        <v>43.269850141841424</v>
      </c>
      <c r="AA84" s="229">
        <f t="shared" si="26"/>
        <v>91.96700411561</v>
      </c>
    </row>
    <row r="85" spans="6:27" ht="12.75">
      <c r="F85" s="78">
        <v>83</v>
      </c>
      <c r="G85" s="229">
        <f>10^('Small Signal'!F85/30)</f>
        <v>584.3414133735179</v>
      </c>
      <c r="H85" s="229" t="str">
        <f t="shared" si="14"/>
        <v>3671.52538288504i</v>
      </c>
      <c r="I85" s="229">
        <f>IF('Small Signal'!$B$37&gt;=1,Q85+0,N85+0)</f>
        <v>23.06676088417433</v>
      </c>
      <c r="J85" s="229">
        <f>IF('Small Signal'!$B$37&gt;=1,R85,O85)</f>
        <v>-7.494607464762404</v>
      </c>
      <c r="K85" s="229">
        <f>IF('Small Signal'!$B$37&gt;=1,Z85+0,W85+0)</f>
        <v>33.2543327907661</v>
      </c>
      <c r="L85" s="229">
        <f>IF('Small Signal'!$B$37&gt;=1,AA85,X85)</f>
        <v>92.65828396047382</v>
      </c>
      <c r="M85" s="229" t="str">
        <f>IMDIV(IMSUM('Small Signal'!$B$2*'Small Signal'!$B$16*'Small Signal'!$B$38,IMPRODUCT(H85,'Small Signal'!$B$2*'Small Signal'!$B$16*'Small Signal'!$B$38*'Small Signal'!$B$13*'Small Signal'!$B$14)),IMSUM(IMPRODUCT('Small Signal'!$B$11*'Small Signal'!$B$13*('Small Signal'!$B$14+'Small Signal'!$B$16),IMPOWER(H85,2)),IMSUM(IMPRODUCT(H85,('Small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14.1127610936643-1.85662898298604i</v>
      </c>
      <c r="N85" s="229">
        <f t="shared" si="15"/>
        <v>23.06676088417433</v>
      </c>
      <c r="O85" s="229">
        <f t="shared" si="16"/>
        <v>-7.494607464762404</v>
      </c>
      <c r="P85" s="229" t="str">
        <f>IMDIV(IMSUM('Small Signal'!$B$48,IMPRODUCT(H85,'Small Signal'!$B$49)),IMSUM(IMPRODUCT('Small Signal'!$B$52,IMPOWER(H85,2)),IMSUM(IMPRODUCT(H85,'Small Signal'!$B$51),'Small Signal'!$B$50)))</f>
        <v>41.3686834481697-5.98037014888291i</v>
      </c>
      <c r="Q85" s="229">
        <f t="shared" si="17"/>
        <v>32.42325916411393</v>
      </c>
      <c r="R85" s="229">
        <f t="shared" si="18"/>
        <v>-8.225848340576196</v>
      </c>
      <c r="S85" s="229" t="str">
        <f>IMPRODUCT(IMDIV(IMSUM(IMPRODUCT(H85,'Small Signal'!$B$33*'Small Signal'!$B$6*'Small Signal'!$B$27*'Small Signal'!$B$7*'Small Signal'!$B$8),'Small Signal'!$B$33*'Small Signal'!$B$6*'Small Signal'!$B$27),IMSUM(IMSUM(IMPRODUCT(H85,('Small Signal'!$B$5+'Small Signal'!$B$6)*('Small Signal'!$B$32*'Small Signal'!$B$33)+'Small Signal'!$B$5*'Small Signal'!$B$33*('Small Signal'!$B$8+'Small Signal'!$B$9)+'Small Signal'!$B$6*'Small Signal'!$B$33*('Small Signal'!$B$8+'Small Signal'!$B$9)+'Small Signal'!$B$7*'Small Signal'!$B$8*('Small Signal'!$B$5+'Small Signal'!$B$6)),'Small Signal'!$B$6+'Small Signal'!$B$5),IMPRODUCT(IMPOWER(H85,2),'Small Signal'!$B$32*'Small Signal'!$B$33*'Small Signal'!$B$8*'Small Signal'!$B$7*('Small Signal'!$B$5+'Small Signal'!$B$6)+('Small Signal'!$B$5+'Small Signal'!$B$6)*('Small Signal'!$B$9*'Small Signal'!$B$8*'Small Signal'!$B$33*'Small Signal'!$B$7)))),-1)</f>
        <v>-0.569600667292849+3.18071029597669i</v>
      </c>
      <c r="T85" s="229">
        <f t="shared" si="19"/>
        <v>10.187571906591764</v>
      </c>
      <c r="U85" s="229">
        <f t="shared" si="20"/>
        <v>100.15289142523623</v>
      </c>
      <c r="V85" s="229" t="str">
        <f t="shared" si="21"/>
        <v>-2.13323921430331+45.9461416229014i</v>
      </c>
      <c r="W85" s="226">
        <f t="shared" si="22"/>
        <v>33.2543327907661</v>
      </c>
      <c r="X85" s="229">
        <f t="shared" si="23"/>
        <v>92.65828396047382</v>
      </c>
      <c r="Y85" s="229" t="str">
        <f t="shared" si="24"/>
        <v>-4.54180479080057+134.988220202056i</v>
      </c>
      <c r="Z85" s="226">
        <f t="shared" si="25"/>
        <v>42.6108310707057</v>
      </c>
      <c r="AA85" s="229">
        <f t="shared" si="26"/>
        <v>91.92704308466004</v>
      </c>
    </row>
    <row r="86" spans="6:27" ht="12.75">
      <c r="F86" s="78">
        <v>84</v>
      </c>
      <c r="G86" s="229">
        <f>10^('Small Signal'!F86/30)</f>
        <v>630.9573444801932</v>
      </c>
      <c r="H86" s="229" t="str">
        <f t="shared" si="14"/>
        <v>3964.421916295i</v>
      </c>
      <c r="I86" s="229">
        <f>IF('Small Signal'!$B$37&gt;=1,Q86+0,N86+0)</f>
        <v>23.055068665261018</v>
      </c>
      <c r="J86" s="229">
        <f>IF('Small Signal'!$B$37&gt;=1,R86,O86)</f>
        <v>-8.085389113463405</v>
      </c>
      <c r="K86" s="229">
        <f>IF('Small Signal'!$B$37&gt;=1,Z86+0,W86+0)</f>
        <v>32.59430892069093</v>
      </c>
      <c r="L86" s="229">
        <f>IF('Small Signal'!$B$37&gt;=1,AA86,X86)</f>
        <v>92.68804676903102</v>
      </c>
      <c r="M86" s="229" t="str">
        <f>IMDIV(IMSUM('Small Signal'!$B$2*'Small Signal'!$B$16*'Small Signal'!$B$38,IMPRODUCT(H86,'Small Signal'!$B$2*'Small Signal'!$B$16*'Small Signal'!$B$38*'Small Signal'!$B$13*'Small Signal'!$B$14)),IMSUM(IMPRODUCT('Small Signal'!$B$11*'Small Signal'!$B$13*('Small Signal'!$B$14+'Small Signal'!$B$16),IMPOWER(H86,2)),IMSUM(IMPRODUCT(H86,('Small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14.0739094788657-1.99935241316611i</v>
      </c>
      <c r="N86" s="229">
        <f t="shared" si="15"/>
        <v>23.055068665261018</v>
      </c>
      <c r="O86" s="229">
        <f t="shared" si="16"/>
        <v>-8.085389113463405</v>
      </c>
      <c r="P86" s="229" t="str">
        <f>IMDIV(IMSUM('Small Signal'!$B$48,IMPRODUCT(H86,'Small Signal'!$B$49)),IMSUM(IMPRODUCT('Small Signal'!$B$52,IMPOWER(H86,2)),IMSUM(IMPRODUCT(H86,'Small Signal'!$B$51),'Small Signal'!$B$50)))</f>
        <v>41.2525768130602-6.44326960586497i</v>
      </c>
      <c r="Q86" s="229">
        <f t="shared" si="17"/>
        <v>32.413698424474454</v>
      </c>
      <c r="R86" s="229">
        <f t="shared" si="18"/>
        <v>-8.877343479958828</v>
      </c>
      <c r="S86" s="229" t="str">
        <f>IMPRODUCT(IMDIV(IMSUM(IMPRODUCT(H86,'Small Signal'!$B$33*'Small Signal'!$B$6*'Small Signal'!$B$27*'Small Signal'!$B$7*'Small Signal'!$B$8),'Small Signal'!$B$33*'Small Signal'!$B$6*'Small Signal'!$B$27),IMSUM(IMSUM(IMPRODUCT(H86,('Small Signal'!$B$5+'Small Signal'!$B$6)*('Small Signal'!$B$32*'Small Signal'!$B$33)+'Small Signal'!$B$5*'Small Signal'!$B$33*('Small Signal'!$B$8+'Small Signal'!$B$9)+'Small Signal'!$B$6*'Small Signal'!$B$33*('Small Signal'!$B$8+'Small Signal'!$B$9)+'Small Signal'!$B$7*'Small Signal'!$B$8*('Small Signal'!$B$5+'Small Signal'!$B$6)),'Small Signal'!$B$6+'Small Signal'!$B$5),IMPRODUCT(IMPOWER(H86,2),'Small Signal'!$B$32*'Small Signal'!$B$33*'Small Signal'!$B$8*'Small Signal'!$B$7*('Small Signal'!$B$5+'Small Signal'!$B$6)+('Small Signal'!$B$5+'Small Signal'!$B$6)*('Small Signal'!$B$9*'Small Signal'!$B$8*'Small Signal'!$B$33*'Small Signal'!$B$7)))),-1)</f>
        <v>-0.560572044409686+2.94604164532781i</v>
      </c>
      <c r="T86" s="229">
        <f t="shared" si="19"/>
        <v>9.539240255429918</v>
      </c>
      <c r="U86" s="229">
        <f t="shared" si="20"/>
        <v>100.77343588249443</v>
      </c>
      <c r="V86" s="229" t="str">
        <f t="shared" si="21"/>
        <v>-1.99926473653059+42.5831045070561i</v>
      </c>
      <c r="W86" s="226">
        <f t="shared" si="22"/>
        <v>32.59430892069093</v>
      </c>
      <c r="X86" s="229">
        <f t="shared" si="23"/>
        <v>92.68804676903102</v>
      </c>
      <c r="Y86" s="229" t="str">
        <f t="shared" si="24"/>
        <v>-4.14290073031166+125.143726084002i</v>
      </c>
      <c r="Z86" s="226">
        <f t="shared" si="25"/>
        <v>41.952938679904356</v>
      </c>
      <c r="AA86" s="229">
        <f t="shared" si="26"/>
        <v>91.8960924025356</v>
      </c>
    </row>
    <row r="87" spans="6:27" ht="12.75">
      <c r="F87" s="78">
        <v>85</v>
      </c>
      <c r="G87" s="229">
        <f>10^('Small Signal'!F87/30)</f>
        <v>681.292069057962</v>
      </c>
      <c r="H87" s="229" t="str">
        <f t="shared" si="14"/>
        <v>4280.68431820297i</v>
      </c>
      <c r="I87" s="229">
        <f>IF('Small Signal'!$B$37&gt;=1,Q87+0,N87+0)</f>
        <v>23.041476105035276</v>
      </c>
      <c r="J87" s="229">
        <f>IF('Small Signal'!$B$37&gt;=1,R87,O87)</f>
        <v>-8.721492795183492</v>
      </c>
      <c r="K87" s="229">
        <f>IF('Small Signal'!$B$37&gt;=1,Z87+0,W87+0)</f>
        <v>31.935256180936232</v>
      </c>
      <c r="L87" s="229">
        <f>IF('Small Signal'!$B$37&gt;=1,AA87,X87)</f>
        <v>92.73150463555774</v>
      </c>
      <c r="M87" s="229" t="str">
        <f>IMDIV(IMSUM('Small Signal'!$B$2*'Small Signal'!$B$16*'Small Signal'!$B$38,IMPRODUCT(H87,'Small Signal'!$B$2*'Small Signal'!$B$16*'Small Signal'!$B$38*'Small Signal'!$B$13*'Small Signal'!$B$14)),IMSUM(IMPRODUCT('Small Signal'!$B$11*'Small Signal'!$B$13*('Small Signal'!$B$14+'Small Signal'!$B$16),IMPOWER(H87,2)),IMSUM(IMPRODUCT(H87,('Small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14.0288745830296-2.15210552003727i</v>
      </c>
      <c r="N87" s="229">
        <f t="shared" si="15"/>
        <v>23.041476105035276</v>
      </c>
      <c r="O87" s="229">
        <f t="shared" si="16"/>
        <v>-8.721492795183492</v>
      </c>
      <c r="P87" s="229" t="str">
        <f>IMDIV(IMSUM('Small Signal'!$B$48,IMPRODUCT(H87,'Small Signal'!$B$49)),IMSUM(IMPRODUCT('Small Signal'!$B$52,IMPOWER(H87,2)),IMSUM(IMPRODUCT(H87,'Small Signal'!$B$51),'Small Signal'!$B$50)))</f>
        <v>41.1178103982387-6.93950218226108i</v>
      </c>
      <c r="Q87" s="229">
        <f t="shared" si="17"/>
        <v>32.40257379835481</v>
      </c>
      <c r="R87" s="229">
        <f t="shared" si="18"/>
        <v>-9.579603926831158</v>
      </c>
      <c r="S87" s="229" t="str">
        <f>IMPRODUCT(IMDIV(IMSUM(IMPRODUCT(H87,'Small Signal'!$B$33*'Small Signal'!$B$6*'Small Signal'!$B$27*'Small Signal'!$B$7*'Small Signal'!$B$8),'Small Signal'!$B$33*'Small Signal'!$B$6*'Small Signal'!$B$27),IMSUM(IMSUM(IMPRODUCT(H87,('Small Signal'!$B$5+'Small Signal'!$B$6)*('Small Signal'!$B$32*'Small Signal'!$B$33)+'Small Signal'!$B$5*'Small Signal'!$B$33*('Small Signal'!$B$8+'Small Signal'!$B$9)+'Small Signal'!$B$6*'Small Signal'!$B$33*('Small Signal'!$B$8+'Small Signal'!$B$9)+'Small Signal'!$B$7*'Small Signal'!$B$8*('Small Signal'!$B$5+'Small Signal'!$B$6)),'Small Signal'!$B$6+'Small Signal'!$B$5),IMPRODUCT(IMPOWER(H87,2),'Small Signal'!$B$32*'Small Signal'!$B$33*'Small Signal'!$B$8*'Small Signal'!$B$7*('Small Signal'!$B$5+'Small Signal'!$B$6)+('Small Signal'!$B$5+'Small Signal'!$B$6)*('Small Signal'!$B$9*'Small Signal'!$B$8*'Small Signal'!$B$33*'Small Signal'!$B$7)))),-1)</f>
        <v>-0.552827307600962+2.72868901754118i</v>
      </c>
      <c r="T87" s="229">
        <f t="shared" si="19"/>
        <v>8.893780075900967</v>
      </c>
      <c r="U87" s="229">
        <f t="shared" si="20"/>
        <v>101.45299743074123</v>
      </c>
      <c r="V87" s="229" t="str">
        <f t="shared" si="21"/>
        <v>-1.88311826729237+39.4701787034908i</v>
      </c>
      <c r="W87" s="226">
        <f t="shared" si="22"/>
        <v>31.935256180936232</v>
      </c>
      <c r="X87" s="229">
        <f t="shared" si="23"/>
        <v>92.73150463555774</v>
      </c>
      <c r="Y87" s="229" t="str">
        <f t="shared" si="24"/>
        <v>-3.79530502496628+116.034063966525i</v>
      </c>
      <c r="Z87" s="226">
        <f t="shared" si="25"/>
        <v>41.296353874255786</v>
      </c>
      <c r="AA87" s="229">
        <f t="shared" si="26"/>
        <v>91.87339350391007</v>
      </c>
    </row>
    <row r="88" spans="6:27" ht="12.75">
      <c r="F88" s="78">
        <v>86</v>
      </c>
      <c r="G88" s="229">
        <f>10^('Small Signal'!F88/30)</f>
        <v>735.6422544596417</v>
      </c>
      <c r="H88" s="229" t="str">
        <f t="shared" si="14"/>
        <v>4622.17660456129i</v>
      </c>
      <c r="I88" s="229">
        <f>IF('Small Signal'!$B$37&gt;=1,Q88+0,N88+0)</f>
        <v>23.025681790010815</v>
      </c>
      <c r="J88" s="229">
        <f>IF('Small Signal'!$B$37&gt;=1,R88,O88)</f>
        <v>-9.40608031248322</v>
      </c>
      <c r="K88" s="229">
        <f>IF('Small Signal'!$B$37&gt;=1,Z88+0,W88+0)</f>
        <v>31.277327573690478</v>
      </c>
      <c r="L88" s="229">
        <f>IF('Small Signal'!$B$37&gt;=1,AA88,X88)</f>
        <v>92.78839267031165</v>
      </c>
      <c r="M88" s="229" t="str">
        <f>IMDIV(IMSUM('Small Signal'!$B$2*'Small Signal'!$B$16*'Small Signal'!$B$38,IMPRODUCT(H88,'Small Signal'!$B$2*'Small Signal'!$B$16*'Small Signal'!$B$38*'Small Signal'!$B$13*'Small Signal'!$B$14)),IMSUM(IMPRODUCT('Small Signal'!$B$11*'Small Signal'!$B$13*('Small Signal'!$B$14+'Small Signal'!$B$16),IMPOWER(H88,2)),IMSUM(IMPRODUCT(H88,('Small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13.9767215757149-2.31535515958651i</v>
      </c>
      <c r="N88" s="229">
        <f t="shared" si="15"/>
        <v>23.025681790010815</v>
      </c>
      <c r="O88" s="229">
        <f t="shared" si="16"/>
        <v>-9.40608031248322</v>
      </c>
      <c r="P88" s="229" t="str">
        <f>IMDIV(IMSUM('Small Signal'!$B$48,IMPRODUCT(H88,'Small Signal'!$B$49)),IMSUM(IMPRODUCT('Small Signal'!$B$52,IMPOWER(H88,2)),IMSUM(IMPRODUCT(H88,'Small Signal'!$B$51),'Small Signal'!$B$50)))</f>
        <v>40.9614995159307-7.47083204700862i</v>
      </c>
      <c r="Q88" s="229">
        <f t="shared" si="17"/>
        <v>32.38963371397211</v>
      </c>
      <c r="R88" s="229">
        <f t="shared" si="18"/>
        <v>-10.336373728989333</v>
      </c>
      <c r="S88" s="229" t="str">
        <f>IMPRODUCT(IMDIV(IMSUM(IMPRODUCT(H88,'Small Signal'!$B$33*'Small Signal'!$B$6*'Small Signal'!$B$27*'Small Signal'!$B$7*'Small Signal'!$B$8),'Small Signal'!$B$33*'Small Signal'!$B$6*'Small Signal'!$B$27),IMSUM(IMSUM(IMPRODUCT(H88,('Small Signal'!$B$5+'Small Signal'!$B$6)*('Small Signal'!$B$32*'Small Signal'!$B$33)+'Small Signal'!$B$5*'Small Signal'!$B$33*('Small Signal'!$B$8+'Small Signal'!$B$9)+'Small Signal'!$B$6*'Small Signal'!$B$33*('Small Signal'!$B$8+'Small Signal'!$B$9)+'Small Signal'!$B$7*'Small Signal'!$B$8*('Small Signal'!$B$5+'Small Signal'!$B$6)),'Small Signal'!$B$6+'Small Signal'!$B$5),IMPRODUCT(IMPOWER(H88,2),'Small Signal'!$B$32*'Small Signal'!$B$33*'Small Signal'!$B$8*'Small Signal'!$B$7*('Small Signal'!$B$5+'Small Signal'!$B$6)+('Small Signal'!$B$5+'Small Signal'!$B$6)*('Small Signal'!$B$9*'Small Signal'!$B$8*'Small Signal'!$B$33*'Small Signal'!$B$7)))),-1)</f>
        <v>-0.546183952014982+2.52738114924382i</v>
      </c>
      <c r="T88" s="229">
        <f t="shared" si="19"/>
        <v>8.251645783679654</v>
      </c>
      <c r="U88" s="229">
        <f t="shared" si="20"/>
        <v>102.19447298279488</v>
      </c>
      <c r="V88" s="229" t="str">
        <f t="shared" si="21"/>
        <v>-1.78207604229367+36.5891124700725i</v>
      </c>
      <c r="W88" s="226">
        <f t="shared" si="22"/>
        <v>31.277327573690478</v>
      </c>
      <c r="X88" s="229">
        <f t="shared" si="23"/>
        <v>92.78839267031165</v>
      </c>
      <c r="Y88" s="229" t="str">
        <f t="shared" si="24"/>
        <v>-3.4908736012946+107.605770293598i</v>
      </c>
      <c r="Z88" s="226">
        <f t="shared" si="25"/>
        <v>40.64127949765172</v>
      </c>
      <c r="AA88" s="229">
        <f t="shared" si="26"/>
        <v>91.85809925380555</v>
      </c>
    </row>
    <row r="89" spans="6:27" ht="12.75">
      <c r="F89" s="78">
        <v>87</v>
      </c>
      <c r="G89" s="229">
        <f>10^('Small Signal'!F89/30)</f>
        <v>794.3282347242821</v>
      </c>
      <c r="H89" s="229" t="str">
        <f t="shared" si="14"/>
        <v>4990.91149349751i</v>
      </c>
      <c r="I89" s="229">
        <f>IF('Small Signal'!$B$37&gt;=1,Q89+0,N89+0)</f>
        <v>23.007339093763747</v>
      </c>
      <c r="J89" s="229">
        <f>IF('Small Signal'!$B$37&gt;=1,R89,O89)</f>
        <v>-10.142454675830527</v>
      </c>
      <c r="K89" s="229">
        <f>IF('Small Signal'!$B$37&gt;=1,Z89+0,W89+0)</f>
        <v>30.620693663426707</v>
      </c>
      <c r="L89" s="229">
        <f>IF('Small Signal'!$B$37&gt;=1,AA89,X89)</f>
        <v>92.85840404693846</v>
      </c>
      <c r="M89" s="229" t="str">
        <f>IMDIV(IMSUM('Small Signal'!$B$2*'Small Signal'!$B$16*'Small Signal'!$B$38,IMPRODUCT(H89,'Small Signal'!$B$2*'Small Signal'!$B$16*'Small Signal'!$B$38*'Small Signal'!$B$13*'Small Signal'!$B$14)),IMSUM(IMPRODUCT('Small Signal'!$B$11*'Small Signal'!$B$13*('Small Signal'!$B$14+'Small Signal'!$B$16),IMPOWER(H89,2)),IMSUM(IMPRODUCT(H89,('Small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13.9163913564544-2.48952712562477i</v>
      </c>
      <c r="N89" s="229">
        <f t="shared" si="15"/>
        <v>23.007339093763747</v>
      </c>
      <c r="O89" s="229">
        <f t="shared" si="16"/>
        <v>-10.142454675830527</v>
      </c>
      <c r="P89" s="229" t="str">
        <f>IMDIV(IMSUM('Small Signal'!$B$48,IMPRODUCT(H89,'Small Signal'!$B$49)),IMSUM(IMPRODUCT('Small Signal'!$B$52,IMPOWER(H89,2)),IMSUM(IMPRODUCT(H89,'Small Signal'!$B$51),'Small Signal'!$B$50)))</f>
        <v>40.7803534744833-8.03894855053793i</v>
      </c>
      <c r="Q89" s="229">
        <f t="shared" si="17"/>
        <v>32.37458761748697</v>
      </c>
      <c r="R89" s="229">
        <f t="shared" si="18"/>
        <v>-11.151619630439823</v>
      </c>
      <c r="S89" s="229" t="str">
        <f>IMPRODUCT(IMDIV(IMSUM(IMPRODUCT(H89,'Small Signal'!$B$33*'Small Signal'!$B$6*'Small Signal'!$B$27*'Small Signal'!$B$7*'Small Signal'!$B$8),'Small Signal'!$B$33*'Small Signal'!$B$6*'Small Signal'!$B$27),IMSUM(IMSUM(IMPRODUCT(H89,('Small Signal'!$B$5+'Small Signal'!$B$6)*('Small Signal'!$B$32*'Small Signal'!$B$33)+'Small Signal'!$B$5*'Small Signal'!$B$33*('Small Signal'!$B$8+'Small Signal'!$B$9)+'Small Signal'!$B$6*'Small Signal'!$B$33*('Small Signal'!$B$8+'Small Signal'!$B$9)+'Small Signal'!$B$7*'Small Signal'!$B$8*('Small Signal'!$B$5+'Small Signal'!$B$6)),'Small Signal'!$B$6+'Small Signal'!$B$5),IMPRODUCT(IMPOWER(H89,2),'Small Signal'!$B$32*'Small Signal'!$B$33*'Small Signal'!$B$8*'Small Signal'!$B$7*('Small Signal'!$B$5+'Small Signal'!$B$6)+('Small Signal'!$B$5+'Small Signal'!$B$6)*('Small Signal'!$B$9*'Small Signal'!$B$8*'Small Signal'!$B$33*'Small Signal'!$B$7)))),-1)</f>
        <v>-0.540485384076383+2.34093933149452i</v>
      </c>
      <c r="T89" s="229">
        <f t="shared" si="19"/>
        <v>7.61335456966297</v>
      </c>
      <c r="U89" s="229">
        <f t="shared" si="20"/>
        <v>103.00085872276898</v>
      </c>
      <c r="V89" s="229" t="str">
        <f t="shared" si="21"/>
        <v>-1.69377416205299+33.9229809034563i</v>
      </c>
      <c r="W89" s="226">
        <f t="shared" si="22"/>
        <v>30.620693663426707</v>
      </c>
      <c r="X89" s="229">
        <f t="shared" si="23"/>
        <v>92.85840404693846</v>
      </c>
      <c r="Y89" s="229" t="str">
        <f t="shared" si="24"/>
        <v>-3.22249416461166+99.8092675955749i</v>
      </c>
      <c r="Z89" s="226">
        <f t="shared" si="25"/>
        <v>39.987942187149926</v>
      </c>
      <c r="AA89" s="229">
        <f t="shared" si="26"/>
        <v>91.84923909232916</v>
      </c>
    </row>
    <row r="90" spans="6:27" ht="12.75">
      <c r="F90" s="78">
        <v>88</v>
      </c>
      <c r="G90" s="229">
        <f>10^('Small Signal'!F90/30)</f>
        <v>857.6958985908942</v>
      </c>
      <c r="H90" s="229" t="str">
        <f t="shared" si="14"/>
        <v>5389.0622680545i</v>
      </c>
      <c r="I90" s="229">
        <f>IF('Small Signal'!$B$37&gt;=1,Q90+0,N90+0)</f>
        <v>22.986050290990335</v>
      </c>
      <c r="J90" s="229">
        <f>IF('Small Signal'!$B$37&gt;=1,R90,O90)</f>
        <v>-10.934045499922433</v>
      </c>
      <c r="K90" s="229">
        <f>IF('Small Signal'!$B$37&gt;=1,Z90+0,W90+0)</f>
        <v>29.96554372457885</v>
      </c>
      <c r="L90" s="229">
        <f>IF('Small Signal'!$B$37&gt;=1,AA90,X90)</f>
        <v>92.94116310641778</v>
      </c>
      <c r="M90" s="229" t="str">
        <f>IMDIV(IMSUM('Small Signal'!$B$2*'Small Signal'!$B$16*'Small Signal'!$B$38,IMPRODUCT(H90,'Small Signal'!$B$2*'Small Signal'!$B$16*'Small Signal'!$B$38*'Small Signal'!$B$13*'Small Signal'!$B$14)),IMSUM(IMPRODUCT('Small Signal'!$B$11*'Small Signal'!$B$13*('Small Signal'!$B$14+'Small Signal'!$B$16),IMPOWER(H90,2)),IMSUM(IMPRODUCT(H90,('Small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13.8466899678478-2.67498608002217i</v>
      </c>
      <c r="N90" s="229">
        <f t="shared" si="15"/>
        <v>22.986050290990335</v>
      </c>
      <c r="O90" s="229">
        <f t="shared" si="16"/>
        <v>-10.934045499922433</v>
      </c>
      <c r="P90" s="229" t="str">
        <f>IMDIV(IMSUM('Small Signal'!$B$48,IMPRODUCT(H90,'Small Signal'!$B$49)),IMSUM(IMPRODUCT('Small Signal'!$B$52,IMPOWER(H90,2)),IMSUM(IMPRODUCT(H90,'Small Signal'!$B$51),'Small Signal'!$B$50)))</f>
        <v>40.5706324539564-8.64541162548266i</v>
      </c>
      <c r="Q90" s="229">
        <f t="shared" si="17"/>
        <v>32.357100449989694</v>
      </c>
      <c r="R90" s="229">
        <f t="shared" si="18"/>
        <v>-12.029530597742937</v>
      </c>
      <c r="S90" s="229" t="str">
        <f>IMPRODUCT(IMDIV(IMSUM(IMPRODUCT(H90,'Small Signal'!$B$33*'Small Signal'!$B$6*'Small Signal'!$B$27*'Small Signal'!$B$7*'Small Signal'!$B$8),'Small Signal'!$B$33*'Small Signal'!$B$6*'Small Signal'!$B$27),IMSUM(IMSUM(IMPRODUCT(H90,('Small Signal'!$B$5+'Small Signal'!$B$6)*('Small Signal'!$B$32*'Small Signal'!$B$33)+'Small Signal'!$B$5*'Small Signal'!$B$33*('Small Signal'!$B$8+'Small Signal'!$B$9)+'Small Signal'!$B$6*'Small Signal'!$B$33*('Small Signal'!$B$8+'Small Signal'!$B$9)+'Small Signal'!$B$7*'Small Signal'!$B$8*('Small Signal'!$B$5+'Small Signal'!$B$6)),'Small Signal'!$B$6+'Small Signal'!$B$5),IMPRODUCT(IMPOWER(H90,2),'Small Signal'!$B$32*'Small Signal'!$B$33*'Small Signal'!$B$8*'Small Signal'!$B$7*('Small Signal'!$B$5+'Small Signal'!$B$6)+('Small Signal'!$B$5+'Small Signal'!$B$6)*('Small Signal'!$B$9*'Small Signal'!$B$8*'Small Signal'!$B$33*'Small Signal'!$B$7)))),-1)</f>
        <v>-0.53559724874412+2.1682708757642i</v>
      </c>
      <c r="T90" s="229">
        <f t="shared" si="19"/>
        <v>6.979493433588515</v>
      </c>
      <c r="U90" s="229">
        <f t="shared" si="20"/>
        <v>103.87520860634022</v>
      </c>
      <c r="V90" s="229" t="str">
        <f t="shared" si="21"/>
        <v>-1.61615464060537+31.4560897679094i</v>
      </c>
      <c r="W90" s="226">
        <f t="shared" si="22"/>
        <v>29.96554372457885</v>
      </c>
      <c r="X90" s="229">
        <f t="shared" si="23"/>
        <v>92.94116310641778</v>
      </c>
      <c r="Y90" s="229" t="str">
        <f t="shared" si="24"/>
        <v>-2.98392488562067+92.5985794421165i</v>
      </c>
      <c r="Z90" s="226">
        <f t="shared" si="25"/>
        <v>39.33659388357822</v>
      </c>
      <c r="AA90" s="229">
        <f t="shared" si="26"/>
        <v>91.84567800859728</v>
      </c>
    </row>
    <row r="91" spans="6:27" ht="12.75">
      <c r="F91" s="78">
        <v>89</v>
      </c>
      <c r="G91" s="229">
        <f>10^('Small Signal'!F91/30)</f>
        <v>926.1187281287947</v>
      </c>
      <c r="H91" s="229" t="str">
        <f t="shared" si="14"/>
        <v>5818.97558528269i</v>
      </c>
      <c r="I91" s="229">
        <f>IF('Small Signal'!$B$37&gt;=1,Q91+0,N91+0)</f>
        <v>22.96136021607836</v>
      </c>
      <c r="J91" s="229">
        <f>IF('Small Signal'!$B$37&gt;=1,R91,O91)</f>
        <v>-11.784387784504979</v>
      </c>
      <c r="K91" s="229">
        <f>IF('Small Signal'!$B$37&gt;=1,Z91+0,W91+0)</f>
        <v>29.31208648086222</v>
      </c>
      <c r="L91" s="229">
        <f>IF('Small Signal'!$B$37&gt;=1,AA91,X91)</f>
        <v>93.03619404721844</v>
      </c>
      <c r="M91" s="229" t="str">
        <f>IMDIV(IMSUM('Small Signal'!$B$2*'Small Signal'!$B$16*'Small Signal'!$B$38,IMPRODUCT(H91,'Small Signal'!$B$2*'Small Signal'!$B$16*'Small Signal'!$B$38*'Small Signal'!$B$13*'Small Signal'!$B$14)),IMSUM(IMPRODUCT('Small Signal'!$B$11*'Small Signal'!$B$13*('Small Signal'!$B$14+'Small Signal'!$B$16),IMPOWER(H91,2)),IMSUM(IMPRODUCT(H91,('Small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13.7662792909635-2.87201099289605i</v>
      </c>
      <c r="N91" s="229">
        <f t="shared" si="15"/>
        <v>22.96136021607836</v>
      </c>
      <c r="O91" s="229">
        <f t="shared" si="16"/>
        <v>-11.784387784504979</v>
      </c>
      <c r="P91" s="229" t="str">
        <f>IMDIV(IMSUM('Small Signal'!$B$48,IMPRODUCT(H91,'Small Signal'!$B$49)),IMSUM(IMPRODUCT('Small Signal'!$B$52,IMPOWER(H91,2)),IMSUM(IMPRODUCT(H91,'Small Signal'!$B$51),'Small Signal'!$B$50)))</f>
        <v>40.3281049147502-9.29158333799626i</v>
      </c>
      <c r="Q91" s="229">
        <f t="shared" si="17"/>
        <v>32.336786521764495</v>
      </c>
      <c r="R91" s="229">
        <f t="shared" si="18"/>
        <v>-12.974513220383761</v>
      </c>
      <c r="S91" s="229" t="str">
        <f>IMPRODUCT(IMDIV(IMSUM(IMPRODUCT(H91,'Small Signal'!$B$33*'Small Signal'!$B$6*'Small Signal'!$B$27*'Small Signal'!$B$7*'Small Signal'!$B$8),'Small Signal'!$B$33*'Small Signal'!$B$6*'Small Signal'!$B$27),IMSUM(IMSUM(IMPRODUCT(H91,('Small Signal'!$B$5+'Small Signal'!$B$6)*('Small Signal'!$B$32*'Small Signal'!$B$33)+'Small Signal'!$B$5*'Small Signal'!$B$33*('Small Signal'!$B$8+'Small Signal'!$B$9)+'Small Signal'!$B$6*'Small Signal'!$B$33*('Small Signal'!$B$8+'Small Signal'!$B$9)+'Small Signal'!$B$7*'Small Signal'!$B$8*('Small Signal'!$B$5+'Small Signal'!$B$6)),'Small Signal'!$B$6+'Small Signal'!$B$5),IMPRODUCT(IMPOWER(H91,2),'Small Signal'!$B$32*'Small Signal'!$B$33*'Small Signal'!$B$8*'Small Signal'!$B$7*('Small Signal'!$B$5+'Small Signal'!$B$6)+('Small Signal'!$B$5+'Small Signal'!$B$6)*('Small Signal'!$B$9*'Small Signal'!$B$8*'Small Signal'!$B$33*'Small Signal'!$B$7)))),-1)</f>
        <v>-0.531404275363096+2.00836300211302i</v>
      </c>
      <c r="T91" s="229">
        <f t="shared" si="19"/>
        <v>6.350726264783866</v>
      </c>
      <c r="U91" s="229">
        <f t="shared" si="20"/>
        <v>104.8205818317234</v>
      </c>
      <c r="V91" s="229" t="str">
        <f t="shared" si="21"/>
        <v>-1.54741905126615+29.1738849252405i</v>
      </c>
      <c r="W91" s="226">
        <f t="shared" si="22"/>
        <v>29.31208648086222</v>
      </c>
      <c r="X91" s="229">
        <f t="shared" si="23"/>
        <v>93.03619404721844</v>
      </c>
      <c r="Y91" s="229" t="str">
        <f t="shared" si="24"/>
        <v>-2.76965516190825+85.9310609668203i</v>
      </c>
      <c r="Z91" s="226">
        <f t="shared" si="25"/>
        <v>38.68751278654836</v>
      </c>
      <c r="AA91" s="229">
        <f t="shared" si="26"/>
        <v>91.84606861133965</v>
      </c>
    </row>
    <row r="92" spans="6:27" ht="12.75">
      <c r="F92" s="78">
        <v>90</v>
      </c>
      <c r="G92" s="229">
        <f>10^('Small Signal'!F92/30)</f>
        <v>1000</v>
      </c>
      <c r="H92" s="229" t="str">
        <f t="shared" si="14"/>
        <v>6283.18530717959i</v>
      </c>
      <c r="I92" s="229">
        <f>IF('Small Signal'!$B$37&gt;=1,Q92+0,N92+0)</f>
        <v>22.93274954598784</v>
      </c>
      <c r="J92" s="229">
        <f>IF('Small Signal'!$B$37&gt;=1,R92,O92)</f>
        <v>-12.69709265859576</v>
      </c>
      <c r="K92" s="229">
        <f>IF('Small Signal'!$B$37&gt;=1,Z92+0,W92+0)</f>
        <v>28.660550241324486</v>
      </c>
      <c r="L92" s="229">
        <f>IF('Small Signal'!$B$37&gt;=1,AA92,X92)</f>
        <v>93.14288492621972</v>
      </c>
      <c r="M92" s="229" t="str">
        <f>IMDIV(IMSUM('Small Signal'!$B$2*'Small Signal'!$B$16*'Small Signal'!$B$38,IMPRODUCT(H92,'Small Signal'!$B$2*'Small Signal'!$B$16*'Small Signal'!$B$38*'Small Signal'!$B$13*'Small Signal'!$B$14)),IMSUM(IMPRODUCT('Small Signal'!$B$11*'Small Signal'!$B$13*('Small Signal'!$B$14+'Small Signal'!$B$16),IMPOWER(H92,2)),IMSUM(IMPRODUCT(H92,('Small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13.6736700338521-3.08076555959909i</v>
      </c>
      <c r="N92" s="229">
        <f t="shared" si="15"/>
        <v>22.93274954598784</v>
      </c>
      <c r="O92" s="229">
        <f t="shared" si="16"/>
        <v>-12.69709265859576</v>
      </c>
      <c r="P92" s="229" t="str">
        <f>IMDIV(IMSUM('Small Signal'!$B$48,IMPRODUCT(H92,'Small Signal'!$B$49)),IMSUM(IMPRODUCT('Small Signal'!$B$52,IMPOWER(H92,2)),IMSUM(IMPRODUCT(H92,'Small Signal'!$B$51),'Small Signal'!$B$50)))</f>
        <v>40.0480078429971-9.97854330208914i</v>
      </c>
      <c r="Q92" s="229">
        <f t="shared" si="17"/>
        <v>32.31320278236488</v>
      </c>
      <c r="R92" s="229">
        <f t="shared" si="18"/>
        <v>-13.991181869284977</v>
      </c>
      <c r="S92" s="229" t="str">
        <f>IMPRODUCT(IMDIV(IMSUM(IMPRODUCT(H92,'Small Signal'!$B$33*'Small Signal'!$B$6*'Small Signal'!$B$27*'Small Signal'!$B$7*'Small Signal'!$B$8),'Small Signal'!$B$33*'Small Signal'!$B$6*'Small Signal'!$B$27),IMSUM(IMSUM(IMPRODUCT(H92,('Small Signal'!$B$5+'Small Signal'!$B$6)*('Small Signal'!$B$32*'Small Signal'!$B$33)+'Small Signal'!$B$5*'Small Signal'!$B$33*('Small Signal'!$B$8+'Small Signal'!$B$9)+'Small Signal'!$B$6*'Small Signal'!$B$33*('Small Signal'!$B$8+'Small Signal'!$B$9)+'Small Signal'!$B$7*'Small Signal'!$B$8*('Small Signal'!$B$5+'Small Signal'!$B$6)),'Small Signal'!$B$6+'Small Signal'!$B$5),IMPRODUCT(IMPOWER(H92,2),'Small Signal'!$B$32*'Small Signal'!$B$33*'Small Signal'!$B$8*'Small Signal'!$B$7*('Small Signal'!$B$5+'Small Signal'!$B$6)+('Small Signal'!$B$5+'Small Signal'!$B$6)*('Small Signal'!$B$9*'Small Signal'!$B$8*'Small Signal'!$B$33*'Small Signal'!$B$7)))),-1)</f>
        <v>-0.527807569345688+1.86027713092471i</v>
      </c>
      <c r="T92" s="229">
        <f t="shared" si="19"/>
        <v>5.72780069533664</v>
      </c>
      <c r="U92" s="229">
        <f t="shared" si="20"/>
        <v>105.8399775848155</v>
      </c>
      <c r="V92" s="229" t="str">
        <f t="shared" si="21"/>
        <v>-1.48598882833979+27.0628670415215i</v>
      </c>
      <c r="W92" s="226">
        <f t="shared" si="22"/>
        <v>28.660550241324486</v>
      </c>
      <c r="X92" s="229">
        <f t="shared" si="23"/>
        <v>93.14288492621972</v>
      </c>
      <c r="Y92" s="229" t="str">
        <f t="shared" si="24"/>
        <v>-2.57478577193098+79.7671438153073i</v>
      </c>
      <c r="Z92" s="226">
        <f t="shared" si="25"/>
        <v>38.04100347770152</v>
      </c>
      <c r="AA92" s="229">
        <f t="shared" si="26"/>
        <v>91.84879571553051</v>
      </c>
    </row>
    <row r="93" spans="6:27" ht="12.75">
      <c r="F93" s="78">
        <v>91</v>
      </c>
      <c r="G93" s="229">
        <f>10^('Small Signal'!F93/30)</f>
        <v>1079.7751623277097</v>
      </c>
      <c r="H93" s="229" t="str">
        <f t="shared" si="14"/>
        <v>6784.42743499492i</v>
      </c>
      <c r="I93" s="229">
        <f>IF('Small Signal'!$B$37&gt;=1,Q93+0,N93+0)</f>
        <v>22.899627839916747</v>
      </c>
      <c r="J93" s="229">
        <f>IF('Small Signal'!$B$37&gt;=1,R93,O93)</f>
        <v>-13.675808522409097</v>
      </c>
      <c r="K93" s="229">
        <f>IF('Small Signal'!$B$37&gt;=1,Z93+0,W93+0)</f>
        <v>28.011182191271622</v>
      </c>
      <c r="L93" s="229">
        <f>IF('Small Signal'!$B$37&gt;=1,AA93,X93)</f>
        <v>93.26044694436754</v>
      </c>
      <c r="M93" s="229" t="str">
        <f>IMDIV(IMSUM('Small Signal'!$B$2*'Small Signal'!$B$16*'Small Signal'!$B$38,IMPRODUCT(H93,'Small Signal'!$B$2*'Small Signal'!$B$16*'Small Signal'!$B$38*'Small Signal'!$B$13*'Small Signal'!$B$14)),IMSUM(IMPRODUCT('Small Signal'!$B$11*'Small Signal'!$B$13*('Small Signal'!$B$14+'Small Signal'!$B$16),IMPOWER(H93,2)),IMSUM(IMPRODUCT(H93,('Small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13.5672183347888-3.30126317331299i</v>
      </c>
      <c r="N93" s="229">
        <f t="shared" si="15"/>
        <v>22.899627839916747</v>
      </c>
      <c r="O93" s="229">
        <f t="shared" si="16"/>
        <v>-13.675808522409097</v>
      </c>
      <c r="P93" s="229" t="str">
        <f>IMDIV(IMSUM('Small Signal'!$B$48,IMPRODUCT(H93,'Small Signal'!$B$49)),IMSUM(IMPRODUCT('Small Signal'!$B$52,IMPOWER(H93,2)),IMSUM(IMPRODUCT(H93,'Small Signal'!$B$51),'Small Signal'!$B$50)))</f>
        <v>39.7250130339295-10.7069856652296i</v>
      </c>
      <c r="Q93" s="229">
        <f t="shared" si="17"/>
        <v>32.28584151266404</v>
      </c>
      <c r="R93" s="229">
        <f t="shared" si="18"/>
        <v>-15.084342315515487</v>
      </c>
      <c r="S93" s="229" t="str">
        <f>IMPRODUCT(IMDIV(IMSUM(IMPRODUCT(H93,'Small Signal'!$B$33*'Small Signal'!$B$6*'Small Signal'!$B$27*'Small Signal'!$B$7*'Small Signal'!$B$8),'Small Signal'!$B$33*'Small Signal'!$B$6*'Small Signal'!$B$27),IMSUM(IMSUM(IMPRODUCT(H93,('Small Signal'!$B$5+'Small Signal'!$B$6)*('Small Signal'!$B$32*'Small Signal'!$B$33)+'Small Signal'!$B$5*'Small Signal'!$B$33*('Small Signal'!$B$8+'Small Signal'!$B$9)+'Small Signal'!$B$6*'Small Signal'!$B$33*('Small Signal'!$B$8+'Small Signal'!$B$9)+'Small Signal'!$B$7*'Small Signal'!$B$8*('Small Signal'!$B$5+'Small Signal'!$B$6)),'Small Signal'!$B$6+'Small Signal'!$B$5),IMPRODUCT(IMPOWER(H93,2),'Small Signal'!$B$32*'Small Signal'!$B$33*'Small Signal'!$B$8*'Small Signal'!$B$7*('Small Signal'!$B$5+'Small Signal'!$B$6)+('Small Signal'!$B$5+'Small Signal'!$B$6)*('Small Signal'!$B$9*'Small Signal'!$B$8*'Small Signal'!$B$33*'Small Signal'!$B$7)))),-1)</f>
        <v>-0.524722286995345+1.72314355837993i</v>
      </c>
      <c r="T93" s="229">
        <f t="shared" si="19"/>
        <v>5.111554351354874</v>
      </c>
      <c r="U93" s="229">
        <f t="shared" si="20"/>
        <v>106.93625546677664</v>
      </c>
      <c r="V93" s="229" t="str">
        <f t="shared" si="21"/>
        <v>-1.43047146118439+25.1105112409997i</v>
      </c>
      <c r="W93" s="226">
        <f t="shared" si="22"/>
        <v>28.011182191271622</v>
      </c>
      <c r="X93" s="229">
        <f t="shared" si="23"/>
        <v>93.26044694436754</v>
      </c>
      <c r="Y93" s="229" t="str">
        <f t="shared" si="24"/>
        <v>-2.39492631137674+74.07009432106i</v>
      </c>
      <c r="Z93" s="226">
        <f t="shared" si="25"/>
        <v>37.39739586401892</v>
      </c>
      <c r="AA93" s="229">
        <f t="shared" si="26"/>
        <v>91.85191315126116</v>
      </c>
    </row>
    <row r="94" spans="6:27" ht="12.75">
      <c r="F94" s="78">
        <v>92</v>
      </c>
      <c r="G94" s="229">
        <f>10^('Small Signal'!F94/30)</f>
        <v>1165.914401179833</v>
      </c>
      <c r="H94" s="229" t="str">
        <f t="shared" si="14"/>
        <v>7325.65623492221i</v>
      </c>
      <c r="I94" s="229">
        <f>IF('Small Signal'!$B$37&gt;=1,Q94+0,N94+0)</f>
        <v>22.861326535955918</v>
      </c>
      <c r="J94" s="229">
        <f>IF('Small Signal'!$B$37&gt;=1,R94,O94)</f>
        <v>-14.72417092464588</v>
      </c>
      <c r="K94" s="229">
        <f>IF('Small Signal'!$B$37&gt;=1,Z94+0,W94+0)</f>
        <v>27.36424654968088</v>
      </c>
      <c r="L94" s="229">
        <f>IF('Small Signal'!$B$37&gt;=1,AA94,X94)</f>
        <v>93.38786937645514</v>
      </c>
      <c r="M94" s="229" t="str">
        <f>IMDIV(IMSUM('Small Signal'!$B$2*'Small Signal'!$B$16*'Small Signal'!$B$38,IMPRODUCT(H94,'Small Signal'!$B$2*'Small Signal'!$B$16*'Small Signal'!$B$38*'Small Signal'!$B$13*'Small Signal'!$B$14)),IMSUM(IMPRODUCT('Small Signal'!$B$11*'Small Signal'!$B$13*('Small Signal'!$B$14+'Small Signal'!$B$16),IMPOWER(H94,2)),IMSUM(IMPRODUCT(H94,('Small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13.4451276523553-3.53332624638024i</v>
      </c>
      <c r="N94" s="229">
        <f t="shared" si="15"/>
        <v>22.861326535955918</v>
      </c>
      <c r="O94" s="229">
        <f t="shared" si="16"/>
        <v>-14.72417092464588</v>
      </c>
      <c r="P94" s="229" t="str">
        <f>IMDIV(IMSUM('Small Signal'!$B$48,IMPRODUCT(H94,'Small Signal'!$B$49)),IMSUM(IMPRODUCT('Small Signal'!$B$52,IMPOWER(H94,2)),IMSUM(IMPRODUCT(H94,'Small Signal'!$B$51),'Small Signal'!$B$50)))</f>
        <v>39.3532037117295-11.4770955725902i</v>
      </c>
      <c r="Q94" s="229">
        <f t="shared" si="17"/>
        <v>32.25412250345922</v>
      </c>
      <c r="R94" s="229">
        <f t="shared" si="18"/>
        <v>-16.258967331798452</v>
      </c>
      <c r="S94" s="229" t="str">
        <f>IMPRODUCT(IMDIV(IMSUM(IMPRODUCT(H94,'Small Signal'!$B$33*'Small Signal'!$B$6*'Small Signal'!$B$27*'Small Signal'!$B$7*'Small Signal'!$B$8),'Small Signal'!$B$33*'Small Signal'!$B$6*'Small Signal'!$B$27),IMSUM(IMSUM(IMPRODUCT(H94,('Small Signal'!$B$5+'Small Signal'!$B$6)*('Small Signal'!$B$32*'Small Signal'!$B$33)+'Small Signal'!$B$5*'Small Signal'!$B$33*('Small Signal'!$B$8+'Small Signal'!$B$9)+'Small Signal'!$B$6*'Small Signal'!$B$33*('Small Signal'!$B$8+'Small Signal'!$B$9)+'Small Signal'!$B$7*'Small Signal'!$B$8*('Small Signal'!$B$5+'Small Signal'!$B$6)),'Small Signal'!$B$6+'Small Signal'!$B$5),IMPRODUCT(IMPOWER(H94,2),'Small Signal'!$B$32*'Small Signal'!$B$33*'Small Signal'!$B$8*'Small Signal'!$B$7*('Small Signal'!$B$5+'Small Signal'!$B$6)+('Small Signal'!$B$5+'Small Signal'!$B$6)*('Small Signal'!$B$9*'Small Signal'!$B$8*'Small Signal'!$B$33*'Small Signal'!$B$7)))),-1)</f>
        <v>-0.522075639498951+1.59615649528091i</v>
      </c>
      <c r="T94" s="229">
        <f t="shared" si="19"/>
        <v>4.502920013724957</v>
      </c>
      <c r="U94" s="229">
        <f t="shared" si="20"/>
        <v>108.11204030110102</v>
      </c>
      <c r="V94" s="229" t="str">
        <f t="shared" si="21"/>
        <v>-1.37963197914209+23.3051913918253i</v>
      </c>
      <c r="W94" s="226">
        <f t="shared" si="22"/>
        <v>27.36424654968088</v>
      </c>
      <c r="X94" s="229">
        <f t="shared" si="23"/>
        <v>93.38786937645514</v>
      </c>
      <c r="Y94" s="229" t="str">
        <f t="shared" si="24"/>
        <v>-2.22610834898405+68.8057837252405i</v>
      </c>
      <c r="Z94" s="226">
        <f t="shared" si="25"/>
        <v>36.75704251718419</v>
      </c>
      <c r="AA94" s="229">
        <f t="shared" si="26"/>
        <v>91.85307296930257</v>
      </c>
    </row>
    <row r="95" spans="6:27" ht="12.75">
      <c r="F95" s="78">
        <v>93</v>
      </c>
      <c r="G95" s="229">
        <f>10^('Small Signal'!F95/30)</f>
        <v>1258.925411794168</v>
      </c>
      <c r="H95" s="229" t="str">
        <f t="shared" si="14"/>
        <v>7910.06165022013i</v>
      </c>
      <c r="I95" s="229">
        <f>IF('Small Signal'!$B$37&gt;=1,Q95+0,N95+0)</f>
        <v>22.81709218908677</v>
      </c>
      <c r="J95" s="229">
        <f>IF('Small Signal'!$B$37&gt;=1,R95,O95)</f>
        <v>-15.845739500088701</v>
      </c>
      <c r="K95" s="229">
        <f>IF('Small Signal'!$B$37&gt;=1,Z95+0,W95+0)</f>
        <v>26.72002126515409</v>
      </c>
      <c r="L95" s="229">
        <f>IF('Small Signal'!$B$37&gt;=1,AA95,X95)</f>
        <v>93.52387105637953</v>
      </c>
      <c r="M95" s="229" t="str">
        <f>IMDIV(IMSUM('Small Signal'!$B$2*'Small Signal'!$B$16*'Small Signal'!$B$38,IMPRODUCT(H95,'Small Signal'!$B$2*'Small Signal'!$B$16*'Small Signal'!$B$38*'Small Signal'!$B$13*'Small Signal'!$B$14)),IMSUM(IMPRODUCT('Small Signal'!$B$11*'Small Signal'!$B$13*('Small Signal'!$B$14+'Small Signal'!$B$16),IMPOWER(H95,2)),IMSUM(IMPRODUCT(H95,('Small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13.3054579841389-3.77654002630925i</v>
      </c>
      <c r="N95" s="229">
        <f t="shared" si="15"/>
        <v>22.81709218908677</v>
      </c>
      <c r="O95" s="229">
        <f t="shared" si="16"/>
        <v>-15.845739500088701</v>
      </c>
      <c r="P95" s="229" t="str">
        <f>IMDIV(IMSUM('Small Signal'!$B$48,IMPRODUCT(H95,'Small Signal'!$B$49)),IMSUM(IMPRODUCT('Small Signal'!$B$52,IMPOWER(H95,2)),IMSUM(IMPRODUCT(H95,'Small Signal'!$B$51),'Small Signal'!$B$50)))</f>
        <v>38.9260670761738-12.2884035224223i</v>
      </c>
      <c r="Q95" s="229">
        <f t="shared" si="17"/>
        <v>32.217384836632654</v>
      </c>
      <c r="R95" s="229">
        <f t="shared" si="18"/>
        <v>-17.520162640107262</v>
      </c>
      <c r="S95" s="229" t="str">
        <f>IMPRODUCT(IMDIV(IMSUM(IMPRODUCT(H95,'Small Signal'!$B$33*'Small Signal'!$B$6*'Small Signal'!$B$27*'Small Signal'!$B$7*'Small Signal'!$B$8),'Small Signal'!$B$33*'Small Signal'!$B$6*'Small Signal'!$B$27),IMSUM(IMSUM(IMPRODUCT(H95,('Small Signal'!$B$5+'Small Signal'!$B$6)*('Small Signal'!$B$32*'Small Signal'!$B$33)+'Small Signal'!$B$5*'Small Signal'!$B$33*('Small Signal'!$B$8+'Small Signal'!$B$9)+'Small Signal'!$B$6*'Small Signal'!$B$33*('Small Signal'!$B$8+'Small Signal'!$B$9)+'Small Signal'!$B$7*'Small Signal'!$B$8*('Small Signal'!$B$5+'Small Signal'!$B$6)),'Small Signal'!$B$6+'Small Signal'!$B$5),IMPRODUCT(IMPOWER(H95,2),'Small Signal'!$B$32*'Small Signal'!$B$33*'Small Signal'!$B$8*'Small Signal'!$B$7*('Small Signal'!$B$5+'Small Signal'!$B$6)+('Small Signal'!$B$5+'Small Signal'!$B$6)*('Small Signal'!$B$9*'Small Signal'!$B$8*'Small Signal'!$B$33*'Small Signal'!$B$7)))),-1)</f>
        <v>-0.519805179642278+1.47856944872813i</v>
      </c>
      <c r="T95" s="229">
        <f t="shared" si="19"/>
        <v>3.9029290760673128</v>
      </c>
      <c r="U95" s="229">
        <f t="shared" si="20"/>
        <v>109.36961055646822</v>
      </c>
      <c r="V95" s="229" t="str">
        <f t="shared" si="21"/>
        <v>-1.33236927286832+21.6361087434855i</v>
      </c>
      <c r="W95" s="226">
        <f t="shared" si="22"/>
        <v>26.72002126515409</v>
      </c>
      <c r="X95" s="229">
        <f t="shared" si="23"/>
        <v>93.52387105637953</v>
      </c>
      <c r="Y95" s="229" t="str">
        <f t="shared" si="24"/>
        <v>-2.06471326740114+63.942469338462i</v>
      </c>
      <c r="Z95" s="226">
        <f t="shared" si="25"/>
        <v>36.12031391269996</v>
      </c>
      <c r="AA95" s="229">
        <f t="shared" si="26"/>
        <v>91.84944791636097</v>
      </c>
    </row>
    <row r="96" spans="6:27" ht="12.75">
      <c r="F96" s="78">
        <v>94</v>
      </c>
      <c r="G96" s="229">
        <f>10^('Small Signal'!F96/30)</f>
        <v>1359.3563908785268</v>
      </c>
      <c r="H96" s="229" t="str">
        <f t="shared" si="14"/>
        <v>8541.08810238863i</v>
      </c>
      <c r="I96" s="229">
        <f>IF('Small Signal'!$B$37&gt;=1,Q96+0,N96+0)</f>
        <v>22.766080335549983</v>
      </c>
      <c r="J96" s="229">
        <f>IF('Small Signal'!$B$37&gt;=1,R96,O96)</f>
        <v>-17.043920410787845</v>
      </c>
      <c r="K96" s="229">
        <f>IF('Small Signal'!$B$37&gt;=1,Z96+0,W96+0)</f>
        <v>26.0787928998094</v>
      </c>
      <c r="L96" s="229">
        <f>IF('Small Signal'!$B$37&gt;=1,AA96,X96)</f>
        <v>93.66685007007587</v>
      </c>
      <c r="M96" s="229" t="str">
        <f>IMDIV(IMSUM('Small Signal'!$B$2*'Small Signal'!$B$16*'Small Signal'!$B$38,IMPRODUCT(H96,'Small Signal'!$B$2*'Small Signal'!$B$16*'Small Signal'!$B$38*'Small Signal'!$B$13*'Small Signal'!$B$14)),IMSUM(IMPRODUCT('Small Signal'!$B$11*'Small Signal'!$B$13*('Small Signal'!$B$14+'Small Signal'!$B$16),IMPOWER(H96,2)),IMSUM(IMPRODUCT(H96,('Small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13.1461448067004-4.03020158222517i</v>
      </c>
      <c r="N96" s="229">
        <f t="shared" si="15"/>
        <v>22.766080335549983</v>
      </c>
      <c r="O96" s="229">
        <f t="shared" si="16"/>
        <v>-17.043920410787845</v>
      </c>
      <c r="P96" s="229" t="str">
        <f>IMDIV(IMSUM('Small Signal'!$B$48,IMPRODUCT(H96,'Small Signal'!$B$49)),IMSUM(IMPRODUCT('Small Signal'!$B$52,IMPOWER(H96,2)),IMSUM(IMPRODUCT(H96,'Small Signal'!$B$51),'Small Signal'!$B$50)))</f>
        <v>38.4365098144951-13.1396169644504i</v>
      </c>
      <c r="Q96" s="229">
        <f t="shared" si="17"/>
        <v>32.17487845132667</v>
      </c>
      <c r="R96" s="229">
        <f t="shared" si="18"/>
        <v>-18.873121455220826</v>
      </c>
      <c r="S96" s="229" t="str">
        <f>IMPRODUCT(IMDIV(IMSUM(IMPRODUCT(H96,'Small Signal'!$B$33*'Small Signal'!$B$6*'Small Signal'!$B$27*'Small Signal'!$B$7*'Small Signal'!$B$8),'Small Signal'!$B$33*'Small Signal'!$B$6*'Small Signal'!$B$27),IMSUM(IMSUM(IMPRODUCT(H96,('Small Signal'!$B$5+'Small Signal'!$B$6)*('Small Signal'!$B$32*'Small Signal'!$B$33)+'Small Signal'!$B$5*'Small Signal'!$B$33*('Small Signal'!$B$8+'Small Signal'!$B$9)+'Small Signal'!$B$6*'Small Signal'!$B$33*('Small Signal'!$B$8+'Small Signal'!$B$9)+'Small Signal'!$B$7*'Small Signal'!$B$8*('Small Signal'!$B$5+'Small Signal'!$B$6)),'Small Signal'!$B$6+'Small Signal'!$B$5),IMPRODUCT(IMPOWER(H96,2),'Small Signal'!$B$32*'Small Signal'!$B$33*'Small Signal'!$B$8*'Small Signal'!$B$7*('Small Signal'!$B$5+'Small Signal'!$B$6)+('Small Signal'!$B$5+'Small Signal'!$B$6)*('Small Signal'!$B$9*'Small Signal'!$B$8*'Small Signal'!$B$33*'Small Signal'!$B$7)))),-1)</f>
        <v>-0.517857331298333+1.36969092637819i</v>
      </c>
      <c r="T96" s="229">
        <f t="shared" si="19"/>
        <v>3.312712564259439</v>
      </c>
      <c r="U96" s="229">
        <f t="shared" si="20"/>
        <v>110.7107704808637</v>
      </c>
      <c r="V96" s="229" t="str">
        <f t="shared" si="21"/>
        <v>-1.28769692781047+20.0932246945567i</v>
      </c>
      <c r="W96" s="226">
        <f t="shared" si="22"/>
        <v>26.0787928998094</v>
      </c>
      <c r="X96" s="229">
        <f t="shared" si="23"/>
        <v>93.66685007007587</v>
      </c>
      <c r="Y96" s="229" t="str">
        <f t="shared" si="24"/>
        <v>-1.90741426466397+59.4505857100528i</v>
      </c>
      <c r="Z96" s="226">
        <f t="shared" si="25"/>
        <v>35.48759101558611</v>
      </c>
      <c r="AA96" s="229">
        <f t="shared" si="26"/>
        <v>91.83764902564289</v>
      </c>
    </row>
    <row r="97" spans="6:27" ht="12.75">
      <c r="F97" s="78">
        <v>95</v>
      </c>
      <c r="G97" s="229">
        <f>10^('Small Signal'!F97/30)</f>
        <v>1467.79926762207</v>
      </c>
      <c r="H97" s="229" t="str">
        <f t="shared" si="14"/>
        <v>9222.45479221195i</v>
      </c>
      <c r="I97" s="229">
        <f>IF('Small Signal'!$B$37&gt;=1,Q97+0,N97+0)</f>
        <v>22.707350483645623</v>
      </c>
      <c r="J97" s="229">
        <f>IF('Small Signal'!$B$37&gt;=1,R97,O97)</f>
        <v>-18.32187304195738</v>
      </c>
      <c r="K97" s="229">
        <f>IF('Small Signal'!$B$37&gt;=1,Z97+0,W97+0)</f>
        <v>25.44084935830535</v>
      </c>
      <c r="L97" s="229">
        <f>IF('Small Signal'!$B$37&gt;=1,AA97,X97)</f>
        <v>93.81483424087571</v>
      </c>
      <c r="M97" s="229" t="str">
        <f>IMDIV(IMSUM('Small Signal'!$B$2*'Small Signal'!$B$16*'Small Signal'!$B$38,IMPRODUCT(H97,'Small Signal'!$B$2*'Small Signal'!$B$16*'Small Signal'!$B$38*'Small Signal'!$B$13*'Small Signal'!$B$14)),IMSUM(IMPRODUCT('Small Signal'!$B$11*'Small Signal'!$B$13*('Small Signal'!$B$14+'Small Signal'!$B$16),IMPOWER(H97,2)),IMSUM(IMPRODUCT(H97,('Small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12.9650304001752-4.29326537935314i</v>
      </c>
      <c r="N97" s="229">
        <f t="shared" si="15"/>
        <v>22.707350483645623</v>
      </c>
      <c r="O97" s="229">
        <f t="shared" si="16"/>
        <v>-18.32187304195738</v>
      </c>
      <c r="P97" s="229" t="str">
        <f>IMDIV(IMSUM('Small Signal'!$B$48,IMPRODUCT(H97,'Small Signal'!$B$49)),IMSUM(IMPRODUCT('Small Signal'!$B$52,IMPOWER(H97,2)),IMSUM(IMPRODUCT(H97,'Small Signal'!$B$51),'Small Signal'!$B$50)))</f>
        <v>37.8769051315923-14.0284300167359i</v>
      </c>
      <c r="Q97" s="229">
        <f t="shared" si="17"/>
        <v>32.12575576044145</v>
      </c>
      <c r="R97" s="229">
        <f t="shared" si="18"/>
        <v>-20.32306584237474</v>
      </c>
      <c r="S97" s="229" t="str">
        <f>IMPRODUCT(IMDIV(IMSUM(IMPRODUCT(H97,'Small Signal'!$B$33*'Small Signal'!$B$6*'Small Signal'!$B$27*'Small Signal'!$B$7*'Small Signal'!$B$8),'Small Signal'!$B$33*'Small Signal'!$B$6*'Small Signal'!$B$27),IMSUM(IMSUM(IMPRODUCT(H97,('Small Signal'!$B$5+'Small Signal'!$B$6)*('Small Signal'!$B$32*'Small Signal'!$B$33)+'Small Signal'!$B$5*'Small Signal'!$B$33*('Small Signal'!$B$8+'Small Signal'!$B$9)+'Small Signal'!$B$6*'Small Signal'!$B$33*('Small Signal'!$B$8+'Small Signal'!$B$9)+'Small Signal'!$B$7*'Small Signal'!$B$8*('Small Signal'!$B$5+'Small Signal'!$B$6)),'Small Signal'!$B$6+'Small Signal'!$B$5),IMPRODUCT(IMPOWER(H97,2),'Small Signal'!$B$32*'Small Signal'!$B$33*'Small Signal'!$B$8*'Small Signal'!$B$7*('Small Signal'!$B$5+'Small Signal'!$B$6)+('Small Signal'!$B$5+'Small Signal'!$B$6)*('Small Signal'!$B$9*'Small Signal'!$B$8*'Small Signal'!$B$33*'Small Signal'!$B$7)))),-1)</f>
        <v>-0.516186127338067+1.26888044348767i</v>
      </c>
      <c r="T97" s="229">
        <f t="shared" si="19"/>
        <v>2.7334988746597393</v>
      </c>
      <c r="U97" s="229">
        <f t="shared" si="20"/>
        <v>112.1367072828331</v>
      </c>
      <c r="V97" s="229" t="str">
        <f t="shared" si="21"/>
        <v>-1.24472835452287+18.6671975538083i</v>
      </c>
      <c r="W97" s="226">
        <f t="shared" si="22"/>
        <v>25.44084935830535</v>
      </c>
      <c r="X97" s="229">
        <f t="shared" si="23"/>
        <v>93.81483424087571</v>
      </c>
      <c r="Y97" s="229" t="str">
        <f t="shared" si="24"/>
        <v>-1.7511324743564+55.3025451442872i</v>
      </c>
      <c r="Z97" s="226">
        <f t="shared" si="25"/>
        <v>34.85925463510118</v>
      </c>
      <c r="AA97" s="229">
        <f t="shared" si="26"/>
        <v>91.81364144045837</v>
      </c>
    </row>
    <row r="98" spans="6:27" ht="12.75">
      <c r="F98" s="78">
        <v>96</v>
      </c>
      <c r="G98" s="229">
        <f>10^('Small Signal'!F98/30)</f>
        <v>1584.8931924611156</v>
      </c>
      <c r="H98" s="229" t="str">
        <f t="shared" si="14"/>
        <v>9958.17762032063i</v>
      </c>
      <c r="I98" s="229">
        <f>IF('Small Signal'!$B$37&gt;=1,Q98+0,N98+0)</f>
        <v>22.639862854882388</v>
      </c>
      <c r="J98" s="229">
        <f>IF('Small Signal'!$B$37&gt;=1,R98,O98)</f>
        <v>-19.6824002680507</v>
      </c>
      <c r="K98" s="229">
        <f>IF('Small Signal'!$B$37&gt;=1,Z98+0,W98+0)</f>
        <v>24.806470174343033</v>
      </c>
      <c r="L98" s="229">
        <f>IF('Small Signal'!$B$37&gt;=1,AA98,X98)</f>
        <v>93.96543608428144</v>
      </c>
      <c r="M98" s="229" t="str">
        <f>IMDIV(IMSUM('Small Signal'!$B$2*'Small Signal'!$B$16*'Small Signal'!$B$38,IMPRODUCT(H98,'Small Signal'!$B$2*'Small Signal'!$B$16*'Small Signal'!$B$38*'Small Signal'!$B$13*'Small Signal'!$B$14)),IMSUM(IMPRODUCT('Small Signal'!$B$11*'Small Signal'!$B$13*('Small Signal'!$B$14+'Small Signal'!$B$16),IMPOWER(H98,2)),IMSUM(IMPRODUCT(H98,('Small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12.7599103219114-4.5642878338147i</v>
      </c>
      <c r="N98" s="229">
        <f t="shared" si="15"/>
        <v>22.639862854882388</v>
      </c>
      <c r="O98" s="229">
        <f t="shared" si="16"/>
        <v>-19.6824002680507</v>
      </c>
      <c r="P98" s="229" t="str">
        <f>IMDIV(IMSUM('Small Signal'!$B$48,IMPRODUCT(H98,'Small Signal'!$B$49)),IMSUM(IMPRODUCT('Small Signal'!$B$52,IMPOWER(H98,2)),IMSUM(IMPRODUCT(H98,'Small Signal'!$B$51),'Small Signal'!$B$50)))</f>
        <v>37.2391812694093-14.9513144426052i</v>
      </c>
      <c r="Q98" s="229">
        <f t="shared" si="17"/>
        <v>32.06906368204402</v>
      </c>
      <c r="R98" s="229">
        <f t="shared" si="18"/>
        <v>-21.875173204037107</v>
      </c>
      <c r="S98" s="229" t="str">
        <f>IMPRODUCT(IMDIV(IMSUM(IMPRODUCT(H98,'Small Signal'!$B$33*'Small Signal'!$B$6*'Small Signal'!$B$27*'Small Signal'!$B$7*'Small Signal'!$B$8),'Small Signal'!$B$33*'Small Signal'!$B$6*'Small Signal'!$B$27),IMSUM(IMSUM(IMPRODUCT(H98,('Small Signal'!$B$5+'Small Signal'!$B$6)*('Small Signal'!$B$32*'Small Signal'!$B$33)+'Small Signal'!$B$5*'Small Signal'!$B$33*('Small Signal'!$B$8+'Small Signal'!$B$9)+'Small Signal'!$B$6*'Small Signal'!$B$33*('Small Signal'!$B$8+'Small Signal'!$B$9)+'Small Signal'!$B$7*'Small Signal'!$B$8*('Small Signal'!$B$5+'Small Signal'!$B$6)),'Small Signal'!$B$6+'Small Signal'!$B$5),IMPRODUCT(IMPOWER(H98,2),'Small Signal'!$B$32*'Small Signal'!$B$33*'Small Signal'!$B$8*'Small Signal'!$B$7*('Small Signal'!$B$5+'Small Signal'!$B$6)+('Small Signal'!$B$5+'Small Signal'!$B$6)*('Small Signal'!$B$9*'Small Signal'!$B$8*'Small Signal'!$B$33*'Small Signal'!$B$7)))),-1)</f>
        <v>-0.514752126436432+1.17554481359854i</v>
      </c>
      <c r="T98" s="229">
        <f t="shared" si="19"/>
        <v>2.16660731946063</v>
      </c>
      <c r="U98" s="229">
        <f t="shared" si="20"/>
        <v>113.64783635233215</v>
      </c>
      <c r="V98" s="229" t="str">
        <f t="shared" si="21"/>
        <v>-1.20266608053028+17.3493232690295i</v>
      </c>
      <c r="W98" s="226">
        <f t="shared" si="22"/>
        <v>24.806470174343033</v>
      </c>
      <c r="X98" s="229">
        <f t="shared" si="23"/>
        <v>93.96543608428144</v>
      </c>
      <c r="Y98" s="229" t="str">
        <f t="shared" si="24"/>
        <v>-1.5930075956947+51.4725473062608i</v>
      </c>
      <c r="Z98" s="226">
        <f t="shared" si="25"/>
        <v>34.235671001504656</v>
      </c>
      <c r="AA98" s="229">
        <f t="shared" si="26"/>
        <v>91.77266314829504</v>
      </c>
    </row>
    <row r="99" spans="6:27" ht="12.75">
      <c r="F99" s="78">
        <v>97</v>
      </c>
      <c r="G99" s="229">
        <f>10^('Small Signal'!F99/30)</f>
        <v>1711.3283041617822</v>
      </c>
      <c r="H99" s="229" t="str">
        <f t="shared" si="14"/>
        <v>10752.5928564699i</v>
      </c>
      <c r="I99" s="229">
        <f>IF('Small Signal'!$B$37&gt;=1,Q99+0,N99+0)</f>
        <v>22.56247762176732</v>
      </c>
      <c r="J99" s="229">
        <f>IF('Small Signal'!$B$37&gt;=1,R99,O99)</f>
        <v>-21.127822494702382</v>
      </c>
      <c r="K99" s="229">
        <f>IF('Small Signal'!$B$37&gt;=1,Z99+0,W99+0)</f>
        <v>24.175914188096836</v>
      </c>
      <c r="L99" s="229">
        <f>IF('Small Signal'!$B$37&gt;=1,AA99,X99)</f>
        <v>94.1158170759928</v>
      </c>
      <c r="M99" s="229" t="str">
        <f>IMDIV(IMSUM('Small Signal'!$B$2*'Small Signal'!$B$16*'Small Signal'!$B$38,IMPRODUCT(H99,'Small Signal'!$B$2*'Small Signal'!$B$16*'Small Signal'!$B$38*'Small Signal'!$B$13*'Small Signal'!$B$14)),IMSUM(IMPRODUCT('Small Signal'!$B$11*'Small Signal'!$B$13*('Small Signal'!$B$14+'Small Signal'!$B$16),IMPOWER(H99,2)),IMSUM(IMPRODUCT(H99,('Small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12.5285976056551-4.84137443884289i</v>
      </c>
      <c r="N99" s="229">
        <f t="shared" si="15"/>
        <v>22.56247762176732</v>
      </c>
      <c r="O99" s="229">
        <f t="shared" si="16"/>
        <v>-21.127822494702382</v>
      </c>
      <c r="P99" s="229" t="str">
        <f>IMDIV(IMSUM('Small Signal'!$B$48,IMPRODUCT(H99,'Small Signal'!$B$49)),IMSUM(IMPRODUCT('Small Signal'!$B$52,IMPOWER(H99,2)),IMSUM(IMPRODUCT(H99,'Small Signal'!$B$51),'Small Signal'!$B$50)))</f>
        <v>36.5149625454902-15.9032981787222i</v>
      </c>
      <c r="Q99" s="229">
        <f t="shared" si="17"/>
        <v>32.0037365637368</v>
      </c>
      <c r="R99" s="229">
        <f t="shared" si="18"/>
        <v>-23.534486494172917</v>
      </c>
      <c r="S99" s="229" t="str">
        <f>IMPRODUCT(IMDIV(IMSUM(IMPRODUCT(H99,'Small Signal'!$B$33*'Small Signal'!$B$6*'Small Signal'!$B$27*'Small Signal'!$B$7*'Small Signal'!$B$8),'Small Signal'!$B$33*'Small Signal'!$B$6*'Small Signal'!$B$27),IMSUM(IMSUM(IMPRODUCT(H99,('Small Signal'!$B$5+'Small Signal'!$B$6)*('Small Signal'!$B$32*'Small Signal'!$B$33)+'Small Signal'!$B$5*'Small Signal'!$B$33*('Small Signal'!$B$8+'Small Signal'!$B$9)+'Small Signal'!$B$6*'Small Signal'!$B$33*('Small Signal'!$B$8+'Small Signal'!$B$9)+'Small Signal'!$B$7*'Small Signal'!$B$8*('Small Signal'!$B$5+'Small Signal'!$B$6)),'Small Signal'!$B$6+'Small Signal'!$B$5),IMPRODUCT(IMPOWER(H99,2),'Small Signal'!$B$32*'Small Signal'!$B$33*'Small Signal'!$B$8*'Small Signal'!$B$7*('Small Signal'!$B$5+'Small Signal'!$B$6)+('Small Signal'!$B$5+'Small Signal'!$B$6)*('Small Signal'!$B$9*'Small Signal'!$B$8*'Small Signal'!$B$33*'Small Signal'!$B$7)))),-1)</f>
        <v>-0.513521483398951+1.08913470449094i</v>
      </c>
      <c r="T99" s="229">
        <f t="shared" si="19"/>
        <v>1.6134365663295305</v>
      </c>
      <c r="U99" s="229">
        <f t="shared" si="20"/>
        <v>115.2436395706952</v>
      </c>
      <c r="V99" s="229" t="str">
        <f t="shared" si="21"/>
        <v>-1.16079510858541+16.1314802344454i</v>
      </c>
      <c r="W99" s="226">
        <f t="shared" si="22"/>
        <v>24.175914188096836</v>
      </c>
      <c r="X99" s="229">
        <f t="shared" si="23"/>
        <v>94.1158170759928</v>
      </c>
      <c r="Y99" s="229" t="str">
        <f t="shared" si="24"/>
        <v>-1.43038377030335+47.9363982131535i</v>
      </c>
      <c r="Z99" s="226">
        <f t="shared" si="25"/>
        <v>33.61717313006634</v>
      </c>
      <c r="AA99" s="229">
        <f t="shared" si="26"/>
        <v>91.70915307652226</v>
      </c>
    </row>
    <row r="100" spans="6:27" ht="12.75">
      <c r="F100" s="78">
        <v>98</v>
      </c>
      <c r="G100" s="229">
        <f>10^('Small Signal'!F100/30)</f>
        <v>1847.8497974222912</v>
      </c>
      <c r="H100" s="229" t="str">
        <f t="shared" si="14"/>
        <v>11610.3826970385i</v>
      </c>
      <c r="I100" s="229">
        <f>IF('Small Signal'!$B$37&gt;=1,Q100+0,N100+0)</f>
        <v>22.473957493138137</v>
      </c>
      <c r="J100" s="229">
        <f>IF('Small Signal'!$B$37&gt;=1,R100,O100)</f>
        <v>-22.659836958066236</v>
      </c>
      <c r="K100" s="229">
        <f>IF('Small Signal'!$B$37&gt;=1,Z100+0,W100+0)</f>
        <v>23.549404652043787</v>
      </c>
      <c r="L100" s="229">
        <f>IF('Small Signal'!$B$37&gt;=1,AA100,X100)</f>
        <v>94.2626671629028</v>
      </c>
      <c r="M100" s="229" t="str">
        <f>IMDIV(IMSUM('Small Signal'!$B$2*'Small Signal'!$B$16*'Small Signal'!$B$38,IMPRODUCT(H100,'Small Signal'!$B$2*'Small Signal'!$B$16*'Small Signal'!$B$38*'Small Signal'!$B$13*'Small Signal'!$B$14)),IMSUM(IMPRODUCT('Small Signal'!$B$11*'Small Signal'!$B$13*('Small Signal'!$B$14+'Small Signal'!$B$16),IMPOWER(H100,2)),IMSUM(IMPRODUCT(H100,('Small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12.2690066426163-5.12213441747471i</v>
      </c>
      <c r="N100" s="229">
        <f t="shared" si="15"/>
        <v>22.473957493138137</v>
      </c>
      <c r="O100" s="229">
        <f t="shared" si="16"/>
        <v>-22.659836958066236</v>
      </c>
      <c r="P100" s="229" t="str">
        <f>IMDIV(IMSUM('Small Signal'!$B$48,IMPRODUCT(H100,'Small Signal'!$B$49)),IMSUM(IMPRODUCT('Small Signal'!$B$52,IMPOWER(H100,2)),IMSUM(IMPRODUCT(H100,'Small Signal'!$B$51),'Small Signal'!$B$50)))</f>
        <v>35.6957742628766-16.8777418170227i</v>
      </c>
      <c r="Q100" s="229">
        <f t="shared" si="17"/>
        <v>31.928590599990955</v>
      </c>
      <c r="R100" s="229">
        <f t="shared" si="18"/>
        <v>-25.30580729415201</v>
      </c>
      <c r="S100" s="229" t="str">
        <f>IMPRODUCT(IMDIV(IMSUM(IMPRODUCT(H100,'Small Signal'!$B$33*'Small Signal'!$B$6*'Small Signal'!$B$27*'Small Signal'!$B$7*'Small Signal'!$B$8),'Small Signal'!$B$33*'Small Signal'!$B$6*'Small Signal'!$B$27),IMSUM(IMSUM(IMPRODUCT(H100,('Small Signal'!$B$5+'Small Signal'!$B$6)*('Small Signal'!$B$32*'Small Signal'!$B$33)+'Small Signal'!$B$5*'Small Signal'!$B$33*('Small Signal'!$B$8+'Small Signal'!$B$9)+'Small Signal'!$B$6*'Small Signal'!$B$33*('Small Signal'!$B$8+'Small Signal'!$B$9)+'Small Signal'!$B$7*'Small Signal'!$B$8*('Small Signal'!$B$5+'Small Signal'!$B$6)),'Small Signal'!$B$6+'Small Signal'!$B$5),IMPRODUCT(IMPOWER(H100,2),'Small Signal'!$B$32*'Small Signal'!$B$33*'Small Signal'!$B$8*'Small Signal'!$B$7*('Small Signal'!$B$5+'Small Signal'!$B$6)+('Small Signal'!$B$5+'Small Signal'!$B$6)*('Small Signal'!$B$9*'Small Signal'!$B$8*'Small Signal'!$B$33*'Small Signal'!$B$7)))),-1)</f>
        <v>-0.512465151205842+1.00914144187564i</v>
      </c>
      <c r="T100" s="229">
        <f t="shared" si="19"/>
        <v>1.0754471589056758</v>
      </c>
      <c r="U100" s="229">
        <f t="shared" si="20"/>
        <v>116.92250412096905</v>
      </c>
      <c r="V100" s="229" t="str">
        <f t="shared" si="21"/>
        <v>-1.11848023272257+15.0060784424594i</v>
      </c>
      <c r="W100" s="226">
        <f t="shared" si="22"/>
        <v>23.549404652043787</v>
      </c>
      <c r="X100" s="229">
        <f t="shared" si="23"/>
        <v>94.2626671629028</v>
      </c>
      <c r="Y100" s="229" t="str">
        <f t="shared" si="24"/>
        <v>-1.26081164219959+44.6713396207803i</v>
      </c>
      <c r="Z100" s="226">
        <f t="shared" si="25"/>
        <v>33.00403775889662</v>
      </c>
      <c r="AA100" s="229">
        <f t="shared" si="26"/>
        <v>91.61669682681702</v>
      </c>
    </row>
    <row r="101" spans="6:27" ht="12.75">
      <c r="F101" s="78">
        <v>99</v>
      </c>
      <c r="G101" s="229">
        <f>10^('Small Signal'!F101/30)</f>
        <v>1995.2623149688804</v>
      </c>
      <c r="H101" s="229" t="str">
        <f t="shared" si="14"/>
        <v>12536.6028613816i</v>
      </c>
      <c r="I101" s="229">
        <f>IF('Small Signal'!$B$37&gt;=1,Q101+0,N101+0)</f>
        <v>22.372974561752876</v>
      </c>
      <c r="J101" s="229">
        <f>IF('Small Signal'!$B$37&gt;=1,R101,O101)</f>
        <v>-24.27936545623349</v>
      </c>
      <c r="K101" s="229">
        <f>IF('Small Signal'!$B$37&gt;=1,Z101+0,W101+0)</f>
        <v>22.927112099372234</v>
      </c>
      <c r="L101" s="229">
        <f>IF('Small Signal'!$B$37&gt;=1,AA101,X101)</f>
        <v>94.40220621603142</v>
      </c>
      <c r="M101" s="229" t="str">
        <f>IMDIV(IMSUM('Small Signal'!$B$2*'Small Signal'!$B$16*'Small Signal'!$B$38,IMPRODUCT(H101,'Small Signal'!$B$2*'Small Signal'!$B$16*'Small Signal'!$B$38*'Small Signal'!$B$13*'Small Signal'!$B$14)),IMSUM(IMPRODUCT('Small Signal'!$B$11*'Small Signal'!$B$13*('Small Signal'!$B$14+'Small Signal'!$B$16),IMPOWER(H101,2)),IMSUM(IMPRODUCT(H101,('Small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11.979257498098-5.40364925338916i</v>
      </c>
      <c r="N101" s="229">
        <f t="shared" si="15"/>
        <v>22.372974561752876</v>
      </c>
      <c r="O101" s="229">
        <f t="shared" si="16"/>
        <v>-24.27936545623349</v>
      </c>
      <c r="P101" s="229" t="str">
        <f>IMDIV(IMSUM('Small Signal'!$B$48,IMPRODUCT(H101,'Small Signal'!$B$49)),IMSUM(IMPRODUCT('Small Signal'!$B$52,IMPOWER(H101,2)),IMSUM(IMPRODUCT(H101,'Small Signal'!$B$51),'Small Signal'!$B$50)))</f>
        <v>34.7733219284846-17.8661284679214i</v>
      </c>
      <c r="Q101" s="229">
        <f t="shared" si="17"/>
        <v>31.84232046244082</v>
      </c>
      <c r="R101" s="229">
        <f t="shared" si="18"/>
        <v>-27.193571740019795</v>
      </c>
      <c r="S101" s="229" t="str">
        <f>IMPRODUCT(IMDIV(IMSUM(IMPRODUCT(H101,'Small Signal'!$B$33*'Small Signal'!$B$6*'Small Signal'!$B$27*'Small Signal'!$B$7*'Small Signal'!$B$8),'Small Signal'!$B$33*'Small Signal'!$B$6*'Small Signal'!$B$27),IMSUM(IMSUM(IMPRODUCT(H101,('Small Signal'!$B$5+'Small Signal'!$B$6)*('Small Signal'!$B$32*'Small Signal'!$B$33)+'Small Signal'!$B$5*'Small Signal'!$B$33*('Small Signal'!$B$8+'Small Signal'!$B$9)+'Small Signal'!$B$6*'Small Signal'!$B$33*('Small Signal'!$B$8+'Small Signal'!$B$9)+'Small Signal'!$B$7*'Small Signal'!$B$8*('Small Signal'!$B$5+'Small Signal'!$B$6)),'Small Signal'!$B$6+'Small Signal'!$B$5),IMPRODUCT(IMPOWER(H101,2),'Small Signal'!$B$32*'Small Signal'!$B$33*'Small Signal'!$B$8*'Small Signal'!$B$7*('Small Signal'!$B$5+'Small Signal'!$B$6)+('Small Signal'!$B$5+'Small Signal'!$B$6)*('Small Signal'!$B$9*'Small Signal'!$B$8*'Small Signal'!$B$33*'Small Signal'!$B$7)))),-1)</f>
        <v>-0.511558196041935+0.935094044188792i</v>
      </c>
      <c r="T101" s="229">
        <f t="shared" si="19"/>
        <v>0.5541375376193415</v>
      </c>
      <c r="U101" s="229">
        <f t="shared" si="20"/>
        <v>118.68157167226491</v>
      </c>
      <c r="V101" s="229" t="str">
        <f t="shared" si="21"/>
        <v>-1.07516712191942+13.9660134043825i</v>
      </c>
      <c r="W101" s="226">
        <f t="shared" si="22"/>
        <v>22.927112099372234</v>
      </c>
      <c r="X101" s="229">
        <f t="shared" si="23"/>
        <v>94.40220621603142</v>
      </c>
      <c r="Y101" s="229" t="str">
        <f t="shared" si="24"/>
        <v>-1.08206751305591+41.6558906812888i</v>
      </c>
      <c r="Z101" s="226">
        <f t="shared" si="25"/>
        <v>32.396458000060164</v>
      </c>
      <c r="AA101" s="229">
        <f t="shared" si="26"/>
        <v>91.48799993224512</v>
      </c>
    </row>
    <row r="102" spans="6:27" ht="12.75">
      <c r="F102" s="78">
        <v>100</v>
      </c>
      <c r="G102" s="229">
        <f>10^('Small Signal'!F102/30)</f>
        <v>2154.434690031885</v>
      </c>
      <c r="H102" s="229" t="str">
        <f t="shared" si="14"/>
        <v>13536.7123896863i</v>
      </c>
      <c r="I102" s="229">
        <f>IF('Small Signal'!$B$37&gt;=1,Q102+0,N102+0)</f>
        <v>22.258122322454547</v>
      </c>
      <c r="J102" s="229">
        <f>IF('Small Signal'!$B$37&gt;=1,R102,O102)</f>
        <v>-25.986395776371186</v>
      </c>
      <c r="K102" s="229">
        <f>IF('Small Signal'!$B$37&gt;=1,Z102+0,W102+0)</f>
        <v>22.309135693621613</v>
      </c>
      <c r="L102" s="229">
        <f>IF('Small Signal'!$B$37&gt;=1,AA102,X102)</f>
        <v>94.53021426935369</v>
      </c>
      <c r="M102" s="229" t="str">
        <f>IMDIV(IMSUM('Small Signal'!$B$2*'Small Signal'!$B$16*'Small Signal'!$B$38,IMPRODUCT(H102,'Small Signal'!$B$2*'Small Signal'!$B$16*'Small Signal'!$B$38*'Small Signal'!$B$13*'Small Signal'!$B$14)),IMSUM(IMPRODUCT('Small Signal'!$B$11*'Small Signal'!$B$13*('Small Signal'!$B$14+'Small Signal'!$B$16),IMPOWER(H102,2)),IMSUM(IMPRODUCT(H102,('Small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11.6577995087779-5.68246265490572i</v>
      </c>
      <c r="N102" s="229">
        <f t="shared" si="15"/>
        <v>22.258122322454547</v>
      </c>
      <c r="O102" s="229">
        <f t="shared" si="16"/>
        <v>-25.986395776371186</v>
      </c>
      <c r="P102" s="229" t="str">
        <f>IMDIV(IMSUM('Small Signal'!$B$48,IMPRODUCT(H102,'Small Signal'!$B$49)),IMSUM(IMPRODUCT('Small Signal'!$B$52,IMPOWER(H102,2)),IMSUM(IMPRODUCT(H102,'Small Signal'!$B$51),'Small Signal'!$B$50)))</f>
        <v>33.7398524691282-18.8578881071645i</v>
      </c>
      <c r="Q102" s="229">
        <f t="shared" si="17"/>
        <v>31.743498964742866</v>
      </c>
      <c r="R102" s="229">
        <f t="shared" si="18"/>
        <v>-29.201710522623202</v>
      </c>
      <c r="S102" s="229" t="str">
        <f>IMPRODUCT(IMDIV(IMSUM(IMPRODUCT(H102,'Small Signal'!$B$33*'Small Signal'!$B$6*'Small Signal'!$B$27*'Small Signal'!$B$7*'Small Signal'!$B$8),'Small Signal'!$B$33*'Small Signal'!$B$6*'Small Signal'!$B$27),IMSUM(IMSUM(IMPRODUCT(H102,('Small Signal'!$B$5+'Small Signal'!$B$6)*('Small Signal'!$B$32*'Small Signal'!$B$33)+'Small Signal'!$B$5*'Small Signal'!$B$33*('Small Signal'!$B$8+'Small Signal'!$B$9)+'Small Signal'!$B$6*'Small Signal'!$B$33*('Small Signal'!$B$8+'Small Signal'!$B$9)+'Small Signal'!$B$7*'Small Signal'!$B$8*('Small Signal'!$B$5+'Small Signal'!$B$6)),'Small Signal'!$B$6+'Small Signal'!$B$5),IMPRODUCT(IMPOWER(H102,2),'Small Signal'!$B$32*'Small Signal'!$B$33*'Small Signal'!$B$8*'Small Signal'!$B$7*('Small Signal'!$B$5+'Small Signal'!$B$6)+('Small Signal'!$B$5+'Small Signal'!$B$6)*('Small Signal'!$B$9*'Small Signal'!$B$8*'Small Signal'!$B$33*'Small Signal'!$B$7)))),-1)</f>
        <v>-0.510779209219576+0.866556472760276i</v>
      </c>
      <c r="T102" s="229">
        <f t="shared" si="19"/>
        <v>0.051013371167045914</v>
      </c>
      <c r="U102" s="229">
        <f t="shared" si="20"/>
        <v>120.51661004572489</v>
      </c>
      <c r="V102" s="229" t="str">
        <f t="shared" si="21"/>
        <v>-1.03038681950684+13.0046254037656i</v>
      </c>
      <c r="W102" s="226">
        <f t="shared" si="22"/>
        <v>22.309135693621613</v>
      </c>
      <c r="X102" s="229">
        <f t="shared" si="23"/>
        <v>94.53021426935369</v>
      </c>
      <c r="Y102" s="229" t="str">
        <f t="shared" si="24"/>
        <v>-0.892190161514037+38.8697047220286i</v>
      </c>
      <c r="Z102" s="226">
        <f t="shared" si="25"/>
        <v>31.79451233590992</v>
      </c>
      <c r="AA102" s="229">
        <f t="shared" si="26"/>
        <v>91.31489952310169</v>
      </c>
    </row>
    <row r="103" spans="6:27" ht="12.75">
      <c r="F103" s="78">
        <v>101</v>
      </c>
      <c r="G103" s="229">
        <f>10^('Small Signal'!F103/30)</f>
        <v>2326.3050671536284</v>
      </c>
      <c r="H103" s="229" t="str">
        <f t="shared" si="14"/>
        <v>14616.6058179571i</v>
      </c>
      <c r="I103" s="229">
        <f>IF('Small Signal'!$B$37&gt;=1,Q103+0,N103+0)</f>
        <v>22.127933659182904</v>
      </c>
      <c r="J103" s="229">
        <f>IF('Small Signal'!$B$37&gt;=1,R103,O103)</f>
        <v>-27.779824461804115</v>
      </c>
      <c r="K103" s="229">
        <f>IF('Small Signal'!$B$37&gt;=1,Z103+0,W103+0)</f>
        <v>21.69548422260558</v>
      </c>
      <c r="L103" s="229">
        <f>IF('Small Signal'!$B$37&gt;=1,AA103,X103)</f>
        <v>94.64209656716017</v>
      </c>
      <c r="M103" s="229" t="str">
        <f>IMDIV(IMSUM('Small Signal'!$B$2*'Small Signal'!$B$16*'Small Signal'!$B$38,IMPRODUCT(H103,'Small Signal'!$B$2*'Small Signal'!$B$16*'Small Signal'!$B$38*'Small Signal'!$B$13*'Small Signal'!$B$14)),IMSUM(IMPRODUCT('Small Signal'!$B$11*'Small Signal'!$B$13*('Small Signal'!$B$14+'Small Signal'!$B$16),IMPOWER(H103,2)),IMSUM(IMPRODUCT(H103,('Small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11.3035503465011-5.95460019135933i</v>
      </c>
      <c r="N103" s="229">
        <f t="shared" si="15"/>
        <v>22.127933659182904</v>
      </c>
      <c r="O103" s="229">
        <f t="shared" si="16"/>
        <v>-27.779824461804115</v>
      </c>
      <c r="P103" s="229" t="str">
        <f>IMDIV(IMSUM('Small Signal'!$B$48,IMPRODUCT(H103,'Small Signal'!$B$49)),IMSUM(IMPRODUCT('Small Signal'!$B$52,IMPOWER(H103,2)),IMSUM(IMPRODUCT(H103,'Small Signal'!$B$51),'Small Signal'!$B$50)))</f>
        <v>32.5885999374661-19.8402832620871i</v>
      </c>
      <c r="Q103" s="229">
        <f t="shared" si="17"/>
        <v>31.630580643767637</v>
      </c>
      <c r="R103" s="229">
        <f t="shared" si="18"/>
        <v>-31.33349581663428</v>
      </c>
      <c r="S103" s="229" t="str">
        <f>IMPRODUCT(IMDIV(IMSUM(IMPRODUCT(H103,'Small Signal'!$B$33*'Small Signal'!$B$6*'Small Signal'!$B$27*'Small Signal'!$B$7*'Small Signal'!$B$8),'Small Signal'!$B$33*'Small Signal'!$B$6*'Small Signal'!$B$27),IMSUM(IMSUM(IMPRODUCT(H103,('Small Signal'!$B$5+'Small Signal'!$B$6)*('Small Signal'!$B$32*'Small Signal'!$B$33)+'Small Signal'!$B$5*'Small Signal'!$B$33*('Small Signal'!$B$8+'Small Signal'!$B$9)+'Small Signal'!$B$6*'Small Signal'!$B$33*('Small Signal'!$B$8+'Small Signal'!$B$9)+'Small Signal'!$B$7*'Small Signal'!$B$8*('Small Signal'!$B$5+'Small Signal'!$B$6)),'Small Signal'!$B$6+'Small Signal'!$B$5),IMPRODUCT(IMPOWER(H103,2),'Small Signal'!$B$32*'Small Signal'!$B$33*'Small Signal'!$B$8*'Small Signal'!$B$7*('Small Signal'!$B$5+'Small Signal'!$B$6)+('Small Signal'!$B$5+'Small Signal'!$B$6)*('Small Signal'!$B$9*'Small Signal'!$B$8*'Small Signal'!$B$33*'Small Signal'!$B$7)))),-1)</f>
        <v>-0.510109802168613+0.803125082535943i</v>
      </c>
      <c r="T103" s="229">
        <f t="shared" si="19"/>
        <v>-0.43244943657734286</v>
      </c>
      <c r="U103" s="229">
        <f t="shared" si="20"/>
        <v>122.42192102896428</v>
      </c>
      <c r="V103" s="229" t="str">
        <f t="shared" si="21"/>
        <v>-0.983763060902628+12.1156647305904i</v>
      </c>
      <c r="W103" s="226">
        <f t="shared" si="22"/>
        <v>21.69548422260558</v>
      </c>
      <c r="X103" s="229">
        <f t="shared" si="23"/>
        <v>94.64209656716017</v>
      </c>
      <c r="Y103" s="229" t="str">
        <f t="shared" si="24"/>
        <v>-0.689535134652715+36.2934449843008i</v>
      </c>
      <c r="Z103" s="226">
        <f t="shared" si="25"/>
        <v>31.1981312071903</v>
      </c>
      <c r="AA103" s="229">
        <f t="shared" si="26"/>
        <v>91.08842521233001</v>
      </c>
    </row>
    <row r="104" spans="6:27" ht="12.75">
      <c r="F104" s="78">
        <v>102</v>
      </c>
      <c r="G104" s="229">
        <f>10^('Small Signal'!F104/30)</f>
        <v>2511.886431509581</v>
      </c>
      <c r="H104" s="229" t="str">
        <f t="shared" si="14"/>
        <v>15782.6479197648i</v>
      </c>
      <c r="I104" s="229">
        <f>IF('Small Signal'!$B$37&gt;=1,Q104+0,N104+0)</f>
        <v>21.98090535295938</v>
      </c>
      <c r="J104" s="229">
        <f>IF('Small Signal'!$B$37&gt;=1,R104,O104)</f>
        <v>-29.657311021004467</v>
      </c>
      <c r="K104" s="229">
        <f>IF('Small Signal'!$B$37&gt;=1,Z104+0,W104+0)</f>
        <v>21.0860583468896</v>
      </c>
      <c r="L104" s="229">
        <f>IF('Small Signal'!$B$37&gt;=1,AA104,X104)</f>
        <v>94.7329873534703</v>
      </c>
      <c r="M104" s="229" t="str">
        <f>IMDIV(IMSUM('Small Signal'!$B$2*'Small Signal'!$B$16*'Small Signal'!$B$38,IMPRODUCT(H104,'Small Signal'!$B$2*'Small Signal'!$B$16*'Small Signal'!$B$38*'Small Signal'!$B$13*'Small Signal'!$B$14)),IMSUM(IMPRODUCT('Small Signal'!$B$11*'Small Signal'!$B$13*('Small Signal'!$B$14+'Small Signal'!$B$16),IMPOWER(H104,2)),IMSUM(IMPRODUCT(H104,('Small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10.9160434251656-6.21562660127917i</v>
      </c>
      <c r="N104" s="229">
        <f t="shared" si="15"/>
        <v>21.98090535295938</v>
      </c>
      <c r="O104" s="229">
        <f t="shared" si="16"/>
        <v>-29.657311021004467</v>
      </c>
      <c r="P104" s="229" t="str">
        <f>IMDIV(IMSUM('Small Signal'!$B$48,IMPRODUCT(H104,'Small Signal'!$B$49)),IMSUM(IMPRODUCT('Small Signal'!$B$52,IMPOWER(H104,2)),IMSUM(IMPRODUCT(H104,'Small Signal'!$B$51),'Small Signal'!$B$50)))</f>
        <v>31.3143100617216-20.7983877645808i</v>
      </c>
      <c r="Q104" s="229">
        <f t="shared" si="17"/>
        <v>31.501910128496068</v>
      </c>
      <c r="R104" s="229">
        <f t="shared" si="18"/>
        <v>-33.5913800030722</v>
      </c>
      <c r="S104" s="229" t="str">
        <f>IMPRODUCT(IMDIV(IMSUM(IMPRODUCT(H104,'Small Signal'!$B$33*'Small Signal'!$B$6*'Small Signal'!$B$27*'Small Signal'!$B$7*'Small Signal'!$B$8),'Small Signal'!$B$33*'Small Signal'!$B$6*'Small Signal'!$B$27),IMSUM(IMSUM(IMPRODUCT(H104,('Small Signal'!$B$5+'Small Signal'!$B$6)*('Small Signal'!$B$32*'Small Signal'!$B$33)+'Small Signal'!$B$5*'Small Signal'!$B$33*('Small Signal'!$B$8+'Small Signal'!$B$9)+'Small Signal'!$B$6*'Small Signal'!$B$33*('Small Signal'!$B$8+'Small Signal'!$B$9)+'Small Signal'!$B$7*'Small Signal'!$B$8*('Small Signal'!$B$5+'Small Signal'!$B$6)),'Small Signal'!$B$6+'Small Signal'!$B$5),IMPRODUCT(IMPOWER(H104,2),'Small Signal'!$B$32*'Small Signal'!$B$33*'Small Signal'!$B$8*'Small Signal'!$B$7*('Small Signal'!$B$5+'Small Signal'!$B$6)+('Small Signal'!$B$5+'Small Signal'!$B$6)*('Small Signal'!$B$9*'Small Signal'!$B$8*'Small Signal'!$B$33*'Small Signal'!$B$7)))),-1)</f>
        <v>-0.509534172613195+0.744426259429143i</v>
      </c>
      <c r="T104" s="229">
        <f t="shared" si="19"/>
        <v>-0.8948470060698078</v>
      </c>
      <c r="U104" s="229">
        <f t="shared" si="20"/>
        <v>124.3902983744748</v>
      </c>
      <c r="V104" s="229" t="str">
        <f t="shared" si="21"/>
        <v>-0.935021494052933+11.2932635323175i</v>
      </c>
      <c r="W104" s="226">
        <f t="shared" si="22"/>
        <v>21.0860583468896</v>
      </c>
      <c r="X104" s="229">
        <f t="shared" si="23"/>
        <v>94.7329873534703</v>
      </c>
      <c r="Y104" s="229" t="str">
        <f t="shared" si="24"/>
        <v>-0.472845062508624+33.9086840071659i</v>
      </c>
      <c r="Z104" s="226">
        <f t="shared" si="25"/>
        <v>30.60706312242627</v>
      </c>
      <c r="AA104" s="229">
        <f t="shared" si="26"/>
        <v>90.79891837140259</v>
      </c>
    </row>
    <row r="105" spans="6:27" ht="12.75">
      <c r="F105" s="78">
        <v>103</v>
      </c>
      <c r="G105" s="229">
        <f>10^('Small Signal'!F105/30)</f>
        <v>2712.27257933203</v>
      </c>
      <c r="H105" s="229" t="str">
        <f t="shared" si="14"/>
        <v>17041.7112195251i</v>
      </c>
      <c r="I105" s="229">
        <f>IF('Small Signal'!$B$37&gt;=1,Q105+0,N105+0)</f>
        <v>21.81552925743063</v>
      </c>
      <c r="J105" s="229">
        <f>IF('Small Signal'!$B$37&gt;=1,R105,O105)</f>
        <v>-31.615155875247762</v>
      </c>
      <c r="K105" s="229">
        <f>IF('Small Signal'!$B$37&gt;=1,Z105+0,W105+0)</f>
        <v>20.480636076237193</v>
      </c>
      <c r="L105" s="229">
        <f>IF('Small Signal'!$B$37&gt;=1,AA105,X105)</f>
        <v>94.79789282962697</v>
      </c>
      <c r="M105" s="229" t="str">
        <f>IMDIV(IMSUM('Small Signal'!$B$2*'Small Signal'!$B$16*'Small Signal'!$B$38,IMPRODUCT(H105,'Small Signal'!$B$2*'Small Signal'!$B$16*'Small Signal'!$B$38*'Small Signal'!$B$13*'Small Signal'!$B$14)),IMSUM(IMPRODUCT('Small Signal'!$B$11*'Small Signal'!$B$13*('Small Signal'!$B$14+'Small Signal'!$B$16),IMPOWER(H105,2)),IMSUM(IMPRODUCT(H105,('Small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10.4955728809423-6.46074718735898i</v>
      </c>
      <c r="N105" s="229">
        <f t="shared" si="15"/>
        <v>21.81552925743063</v>
      </c>
      <c r="O105" s="229">
        <f t="shared" si="16"/>
        <v>-31.615155875247762</v>
      </c>
      <c r="P105" s="229" t="str">
        <f>IMDIV(IMSUM('Small Signal'!$B$48,IMPRODUCT(H105,'Small Signal'!$B$49)),IMSUM(IMPRODUCT('Small Signal'!$B$52,IMPOWER(H105,2)),IMSUM(IMPRODUCT(H105,'Small Signal'!$B$51),'Small Signal'!$B$50)))</f>
        <v>29.9138267624471-21.7151929189438i</v>
      </c>
      <c r="Q105" s="229">
        <f t="shared" si="17"/>
        <v>31.355736054386693</v>
      </c>
      <c r="R105" s="229">
        <f t="shared" si="18"/>
        <v>-35.97683331926563</v>
      </c>
      <c r="S105" s="229" t="str">
        <f>IMPRODUCT(IMDIV(IMSUM(IMPRODUCT(H105,'Small Signal'!$B$33*'Small Signal'!$B$6*'Small Signal'!$B$27*'Small Signal'!$B$7*'Small Signal'!$B$8),'Small Signal'!$B$33*'Small Signal'!$B$6*'Small Signal'!$B$27),IMSUM(IMSUM(IMPRODUCT(H105,('Small Signal'!$B$5+'Small Signal'!$B$6)*('Small Signal'!$B$32*'Small Signal'!$B$33)+'Small Signal'!$B$5*'Small Signal'!$B$33*('Small Signal'!$B$8+'Small Signal'!$B$9)+'Small Signal'!$B$6*'Small Signal'!$B$33*('Small Signal'!$B$8+'Small Signal'!$B$9)+'Small Signal'!$B$7*'Small Signal'!$B$8*('Small Signal'!$B$5+'Small Signal'!$B$6)),'Small Signal'!$B$6+'Small Signal'!$B$5),IMPRODUCT(IMPOWER(H105,2),'Small Signal'!$B$32*'Small Signal'!$B$33*'Small Signal'!$B$8*'Small Signal'!$B$7*('Small Signal'!$B$5+'Small Signal'!$B$6)+('Small Signal'!$B$5+'Small Signal'!$B$6)*('Small Signal'!$B$9*'Small Signal'!$B$8*'Small Signal'!$B$33*'Small Signal'!$B$7)))),-1)</f>
        <v>-0.509038731724653+0.690114231248496i</v>
      </c>
      <c r="T105" s="229">
        <f t="shared" si="19"/>
        <v>-1.3348931811934417</v>
      </c>
      <c r="U105" s="229">
        <f t="shared" si="20"/>
        <v>126.41304870487475</v>
      </c>
      <c r="V105" s="229" t="str">
        <f t="shared" si="21"/>
        <v>-0.883999529543405+10.5319147644909i</v>
      </c>
      <c r="W105" s="226">
        <f t="shared" si="22"/>
        <v>20.480636076237193</v>
      </c>
      <c r="X105" s="229">
        <f t="shared" si="23"/>
        <v>94.79789282962697</v>
      </c>
      <c r="Y105" s="229" t="str">
        <f t="shared" si="24"/>
        <v>-0.241332768517369+31.6978318224822i</v>
      </c>
      <c r="Z105" s="226">
        <f t="shared" si="25"/>
        <v>30.020842873193256</v>
      </c>
      <c r="AA105" s="229">
        <f t="shared" si="26"/>
        <v>90.4362153856091</v>
      </c>
    </row>
    <row r="106" spans="6:27" ht="12.75">
      <c r="F106" s="78">
        <v>104</v>
      </c>
      <c r="G106" s="229">
        <f>10^('Small Signal'!F106/30)</f>
        <v>2928.644564625239</v>
      </c>
      <c r="H106" s="229" t="str">
        <f t="shared" si="14"/>
        <v>18401.2164984047i</v>
      </c>
      <c r="I106" s="229">
        <f>IF('Small Signal'!$B$37&gt;=1,Q106+0,N106+0)</f>
        <v>21.63032972019696</v>
      </c>
      <c r="J106" s="229">
        <f>IF('Small Signal'!$B$37&gt;=1,R106,O106)</f>
        <v>-33.64821581868365</v>
      </c>
      <c r="K106" s="229">
        <f>IF('Small Signal'!$B$37&gt;=1,Z106+0,W106+0)</f>
        <v>19.878863619241226</v>
      </c>
      <c r="L106" s="229">
        <f>IF('Small Signal'!$B$37&gt;=1,AA106,X106)</f>
        <v>94.83186890658004</v>
      </c>
      <c r="M106" s="229" t="str">
        <f>IMDIV(IMSUM('Small Signal'!$B$2*'Small Signal'!$B$16*'Small Signal'!$B$38,IMPRODUCT(H106,'Small Signal'!$B$2*'Small Signal'!$B$16*'Small Signal'!$B$38*'Small Signal'!$B$13*'Small Signal'!$B$14)),IMSUM(IMPRODUCT('Small Signal'!$B$11*'Small Signal'!$B$13*('Small Signal'!$B$14+'Small Signal'!$B$16),IMPOWER(H106,2)),IMSUM(IMPRODUCT(H106,('Small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10.0433219389921-6.68495646066602i</v>
      </c>
      <c r="N106" s="229">
        <f t="shared" si="15"/>
        <v>21.63032972019696</v>
      </c>
      <c r="O106" s="229">
        <f t="shared" si="16"/>
        <v>-33.64821581868365</v>
      </c>
      <c r="P106" s="229" t="str">
        <f>IMDIV(IMSUM('Small Signal'!$B$48,IMPRODUCT(H106,'Small Signal'!$B$49)),IMSUM(IMPRODUCT('Small Signal'!$B$52,IMPOWER(H106,2)),IMSUM(IMPRODUCT(H106,'Small Signal'!$B$51),'Small Signal'!$B$50)))</f>
        <v>28.3867099038411-22.5718741229739i</v>
      </c>
      <c r="Q106" s="229">
        <f t="shared" si="17"/>
        <v>31.190231033351026</v>
      </c>
      <c r="R106" s="229">
        <f t="shared" si="18"/>
        <v>-38.490189875899006</v>
      </c>
      <c r="S106" s="229" t="str">
        <f>IMPRODUCT(IMDIV(IMSUM(IMPRODUCT(H106,'Small Signal'!$B$33*'Small Signal'!$B$6*'Small Signal'!$B$27*'Small Signal'!$B$7*'Small Signal'!$B$8),'Small Signal'!$B$33*'Small Signal'!$B$6*'Small Signal'!$B$27),IMSUM(IMSUM(IMPRODUCT(H106,('Small Signal'!$B$5+'Small Signal'!$B$6)*('Small Signal'!$B$32*'Small Signal'!$B$33)+'Small Signal'!$B$5*'Small Signal'!$B$33*('Small Signal'!$B$8+'Small Signal'!$B$9)+'Small Signal'!$B$6*'Small Signal'!$B$33*('Small Signal'!$B$8+'Small Signal'!$B$9)+'Small Signal'!$B$7*'Small Signal'!$B$8*('Small Signal'!$B$5+'Small Signal'!$B$6)),'Small Signal'!$B$6+'Small Signal'!$B$5),IMPRODUCT(IMPOWER(H106,2),'Small Signal'!$B$32*'Small Signal'!$B$33*'Small Signal'!$B$8*'Small Signal'!$B$7*('Small Signal'!$B$5+'Small Signal'!$B$6)+('Small Signal'!$B$5+'Small Signal'!$B$6)*('Small Signal'!$B$9*'Small Signal'!$B$8*'Small Signal'!$B$33*'Small Signal'!$B$7)))),-1)</f>
        <v>-0.508611783471136+0.639869039989964i</v>
      </c>
      <c r="T106" s="229">
        <f t="shared" si="19"/>
        <v>-1.7514661009557408</v>
      </c>
      <c r="U106" s="229">
        <f t="shared" si="20"/>
        <v>128.48008472526368</v>
      </c>
      <c r="V106" s="229" t="str">
        <f t="shared" si="21"/>
        <v>-0.830655210504486+9.82645839529926i</v>
      </c>
      <c r="W106" s="226">
        <f t="shared" si="22"/>
        <v>19.878863619241226</v>
      </c>
      <c r="X106" s="229">
        <f t="shared" si="23"/>
        <v>94.83186890658004</v>
      </c>
      <c r="Y106" s="229" t="str">
        <f t="shared" si="24"/>
        <v>0.00522827477123755+29.6440979686162i</v>
      </c>
      <c r="Z106" s="226">
        <f t="shared" si="25"/>
        <v>29.4387649323953</v>
      </c>
      <c r="AA106" s="229">
        <f t="shared" si="26"/>
        <v>89.9898948493647</v>
      </c>
    </row>
    <row r="107" spans="6:27" ht="12.75">
      <c r="F107" s="78">
        <v>105</v>
      </c>
      <c r="G107" s="229">
        <f>10^('Small Signal'!F107/30)</f>
        <v>3162.2776601683804</v>
      </c>
      <c r="H107" s="229" t="str">
        <f t="shared" si="14"/>
        <v>19869.1765315922i</v>
      </c>
      <c r="I107" s="229">
        <f>IF('Small Signal'!$B$37&gt;=1,Q107+0,N107+0)</f>
        <v>21.423906124738732</v>
      </c>
      <c r="J107" s="229">
        <f>IF('Small Signal'!$B$37&gt;=1,R107,O107)</f>
        <v>-35.7498710055403</v>
      </c>
      <c r="K107" s="229">
        <f>IF('Small Signal'!$B$37&gt;=1,Z107+0,W107+0)</f>
        <v>19.28025362611176</v>
      </c>
      <c r="L107" s="229">
        <f>IF('Small Signal'!$B$37&gt;=1,AA107,X107)</f>
        <v>94.8302237879765</v>
      </c>
      <c r="M107" s="229" t="str">
        <f>IMDIV(IMSUM('Small Signal'!$B$2*'Small Signal'!$B$16*'Small Signal'!$B$38,IMPRODUCT(H107,'Small Signal'!$B$2*'Small Signal'!$B$16*'Small Signal'!$B$38*'Small Signal'!$B$13*'Small Signal'!$B$14)),IMSUM(IMPRODUCT('Small Signal'!$B$11*'Small Signal'!$B$13*('Small Signal'!$B$14+'Small Signal'!$B$16),IMPOWER(H107,2)),IMSUM(IMPRODUCT(H107,('Small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9.56145809022614-6.88323220319055i</v>
      </c>
      <c r="N107" s="229">
        <f t="shared" si="15"/>
        <v>21.423906124738732</v>
      </c>
      <c r="O107" s="229">
        <f t="shared" si="16"/>
        <v>-35.7498710055403</v>
      </c>
      <c r="P107" s="229" t="str">
        <f>IMDIV(IMSUM('Small Signal'!$B$48,IMPRODUCT(H107,'Small Signal'!$B$49)),IMSUM(IMPRODUCT('Small Signal'!$B$52,IMPOWER(H107,2)),IMSUM(IMPRODUCT(H107,'Small Signal'!$B$51),'Small Signal'!$B$50)))</f>
        <v>26.7358384213477-23.3482440229199i</v>
      </c>
      <c r="Q107" s="229">
        <f t="shared" si="17"/>
        <v>31.003517787256087</v>
      </c>
      <c r="R107" s="229">
        <f t="shared" si="18"/>
        <v>-41.13051347436274</v>
      </c>
      <c r="S107" s="229" t="str">
        <f>IMPRODUCT(IMDIV(IMSUM(IMPRODUCT(H107,'Small Signal'!$B$33*'Small Signal'!$B$6*'Small Signal'!$B$27*'Small Signal'!$B$7*'Small Signal'!$B$8),'Small Signal'!$B$33*'Small Signal'!$B$6*'Small Signal'!$B$27),IMSUM(IMSUM(IMPRODUCT(H107,('Small Signal'!$B$5+'Small Signal'!$B$6)*('Small Signal'!$B$32*'Small Signal'!$B$33)+'Small Signal'!$B$5*'Small Signal'!$B$33*('Small Signal'!$B$8+'Small Signal'!$B$9)+'Small Signal'!$B$6*'Small Signal'!$B$33*('Small Signal'!$B$8+'Small Signal'!$B$9)+'Small Signal'!$B$7*'Small Signal'!$B$8*('Small Signal'!$B$5+'Small Signal'!$B$6)),'Small Signal'!$B$6+'Small Signal'!$B$5),IMPRODUCT(IMPOWER(H107,2),'Small Signal'!$B$32*'Small Signal'!$B$33*'Small Signal'!$B$8*'Small Signal'!$B$7*('Small Signal'!$B$5+'Small Signal'!$B$6)+('Small Signal'!$B$5+'Small Signal'!$B$6)*('Small Signal'!$B$9*'Small Signal'!$B$8*'Small Signal'!$B$33*'Small Signal'!$B$7)))),-1)</f>
        <v>-0.508243248611011+0.593394664086912i</v>
      </c>
      <c r="T107" s="229">
        <f t="shared" si="19"/>
        <v>-2.1436524986269725</v>
      </c>
      <c r="U107" s="229">
        <f t="shared" si="20"/>
        <v>130.58009479351676</v>
      </c>
      <c r="V107" s="229" t="str">
        <f t="shared" si="21"/>
        <v>-0.775073260190095+9.17207450752432i</v>
      </c>
      <c r="W107" s="226">
        <f t="shared" si="22"/>
        <v>19.28025362611176</v>
      </c>
      <c r="X107" s="229">
        <f t="shared" si="23"/>
        <v>94.8302237879765</v>
      </c>
      <c r="Y107" s="229" t="str">
        <f t="shared" si="24"/>
        <v>0.266414045394965+27.731491250689i</v>
      </c>
      <c r="Z107" s="226">
        <f t="shared" si="25"/>
        <v>28.859865288629113</v>
      </c>
      <c r="AA107" s="229">
        <f t="shared" si="26"/>
        <v>89.44958131915405</v>
      </c>
    </row>
    <row r="108" spans="6:27" ht="12.75">
      <c r="F108" s="78">
        <v>106</v>
      </c>
      <c r="G108" s="229">
        <f>10^('Small Signal'!F108/30)</f>
        <v>3414.5488738336035</v>
      </c>
      <c r="H108" s="229" t="str">
        <f t="shared" si="14"/>
        <v>21454.2433147179i</v>
      </c>
      <c r="I108" s="229">
        <f>IF('Small Signal'!$B$37&gt;=1,Q108+0,N108+0)</f>
        <v>21.194978656477744</v>
      </c>
      <c r="J108" s="229">
        <f>IF('Small Signal'!$B$37&gt;=1,R108,O108)</f>
        <v>-37.91205600171157</v>
      </c>
      <c r="K108" s="229">
        <f>IF('Small Signal'!$B$37&gt;=1,Z108+0,W108+0)</f>
        <v>18.684192350645812</v>
      </c>
      <c r="L108" s="229">
        <f>IF('Small Signal'!$B$37&gt;=1,AA108,X108)</f>
        <v>94.78872993174134</v>
      </c>
      <c r="M108" s="229" t="str">
        <f>IMDIV(IMSUM('Small Signal'!$B$2*'Small Signal'!$B$16*'Small Signal'!$B$38,IMPRODUCT(H108,'Small Signal'!$B$2*'Small Signal'!$B$16*'Small Signal'!$B$38*'Small Signal'!$B$13*'Small Signal'!$B$14)),IMSUM(IMPRODUCT('Small Signal'!$B$11*'Small Signal'!$B$13*('Small Signal'!$B$14+'Small Signal'!$B$16),IMPOWER(H108,2)),IMSUM(IMPRODUCT(H108,('Small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9.05317805130933-7.05076671927078i</v>
      </c>
      <c r="N108" s="229">
        <f t="shared" si="15"/>
        <v>21.194978656477744</v>
      </c>
      <c r="O108" s="229">
        <f t="shared" si="16"/>
        <v>-37.91205600171157</v>
      </c>
      <c r="P108" s="229" t="str">
        <f>IMDIV(IMSUM('Small Signal'!$B$48,IMPRODUCT(H108,'Small Signal'!$B$49)),IMSUM(IMPRODUCT('Small Signal'!$B$52,IMPOWER(H108,2)),IMSUM(IMPRODUCT(H108,'Small Signal'!$B$51),'Small Signal'!$B$50)))</f>
        <v>24.9679389678764-24.0234044005722i</v>
      </c>
      <c r="Q108" s="229">
        <f t="shared" si="17"/>
        <v>30.793700996628747</v>
      </c>
      <c r="R108" s="229">
        <f t="shared" si="18"/>
        <v>-43.895495881198435</v>
      </c>
      <c r="S108" s="229" t="str">
        <f>IMPRODUCT(IMDIV(IMSUM(IMPRODUCT(H108,'Small Signal'!$B$33*'Small Signal'!$B$6*'Small Signal'!$B$27*'Small Signal'!$B$7*'Small Signal'!$B$8),'Small Signal'!$B$33*'Small Signal'!$B$6*'Small Signal'!$B$27),IMSUM(IMSUM(IMPRODUCT(H108,('Small Signal'!$B$5+'Small Signal'!$B$6)*('Small Signal'!$B$32*'Small Signal'!$B$33)+'Small Signal'!$B$5*'Small Signal'!$B$33*('Small Signal'!$B$8+'Small Signal'!$B$9)+'Small Signal'!$B$6*'Small Signal'!$B$33*('Small Signal'!$B$8+'Small Signal'!$B$9)+'Small Signal'!$B$7*'Small Signal'!$B$8*('Small Signal'!$B$5+'Small Signal'!$B$6)),'Small Signal'!$B$6+'Small Signal'!$B$5),IMPRODUCT(IMPOWER(H108,2),'Small Signal'!$B$32*'Small Signal'!$B$33*'Small Signal'!$B$8*'Small Signal'!$B$7*('Small Signal'!$B$5+'Small Signal'!$B$6)+('Small Signal'!$B$5+'Small Signal'!$B$6)*('Small Signal'!$B$9*'Small Signal'!$B$8*'Small Signal'!$B$33*'Small Signal'!$B$7)))),-1)</f>
        <v>-0.507924426826706+0.55041727997915i</v>
      </c>
      <c r="T108" s="229">
        <f t="shared" si="19"/>
        <v>-2.5107863058319344</v>
      </c>
      <c r="U108" s="229">
        <f t="shared" si="20"/>
        <v>132.70078593345292</v>
      </c>
      <c r="V108" s="229" t="str">
        <f t="shared" si="21"/>
        <v>-0.717466433282868+8.56428228274305i</v>
      </c>
      <c r="W108" s="226">
        <f t="shared" si="22"/>
        <v>18.684192350645812</v>
      </c>
      <c r="X108" s="229">
        <f t="shared" si="23"/>
        <v>94.78872993174134</v>
      </c>
      <c r="Y108" s="229" t="str">
        <f t="shared" si="24"/>
        <v>0.541070816699294+25.9448589639708i</v>
      </c>
      <c r="Z108" s="226">
        <f t="shared" si="25"/>
        <v>28.282914690796822</v>
      </c>
      <c r="AA108" s="229">
        <f t="shared" si="26"/>
        <v>88.80529005225449</v>
      </c>
    </row>
    <row r="109" spans="6:27" ht="12.75">
      <c r="F109" s="78">
        <v>107</v>
      </c>
      <c r="G109" s="229">
        <f>10^('Small Signal'!F109/30)</f>
        <v>3686.9450645195784</v>
      </c>
      <c r="H109" s="229" t="str">
        <f t="shared" si="14"/>
        <v>23165.7590577677i</v>
      </c>
      <c r="I109" s="229">
        <f>IF('Small Signal'!$B$37&gt;=1,Q109+0,N109+0)</f>
        <v>20.942434664391932</v>
      </c>
      <c r="J109" s="229">
        <f>IF('Small Signal'!$B$37&gt;=1,R109,O109)</f>
        <v>-40.125363934552425</v>
      </c>
      <c r="K109" s="229">
        <f>IF('Small Signal'!$B$37&gt;=1,Z109+0,W109+0)</f>
        <v>18.0899563922246</v>
      </c>
      <c r="L109" s="229">
        <f>IF('Small Signal'!$B$37&gt;=1,AA109,X109)</f>
        <v>94.70382571874654</v>
      </c>
      <c r="M109" s="229" t="str">
        <f>IMDIV(IMSUM('Small Signal'!$B$2*'Small Signal'!$B$16*'Small Signal'!$B$38,IMPRODUCT(H109,'Small Signal'!$B$2*'Small Signal'!$B$16*'Small Signal'!$B$38*'Small Signal'!$B$13*'Small Signal'!$B$14)),IMSUM(IMPRODUCT('Small Signal'!$B$11*'Small Signal'!$B$13*('Small Signal'!$B$14+'Small Signal'!$B$16),IMPOWER(H109,2)),IMSUM(IMPRODUCT(H109,('Small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8.52268776901079-7.18322008340048i</v>
      </c>
      <c r="N109" s="229">
        <f t="shared" si="15"/>
        <v>20.942434664391932</v>
      </c>
      <c r="O109" s="229">
        <f t="shared" si="16"/>
        <v>-40.125363934552425</v>
      </c>
      <c r="P109" s="229" t="str">
        <f>IMDIV(IMSUM('Small Signal'!$B$48,IMPRODUCT(H109,'Small Signal'!$B$49)),IMSUM(IMPRODUCT('Small Signal'!$B$52,IMPOWER(H109,2)),IMSUM(IMPRODUCT(H109,'Small Signal'!$B$51),'Small Signal'!$B$50)))</f>
        <v>23.0939706708139-24.576587983409i</v>
      </c>
      <c r="Q109" s="229">
        <f t="shared" si="17"/>
        <v>30.558903738851775</v>
      </c>
      <c r="R109" s="229">
        <f t="shared" si="18"/>
        <v>-46.781400159253515</v>
      </c>
      <c r="S109" s="229" t="str">
        <f>IMPRODUCT(IMDIV(IMSUM(IMPRODUCT(H109,'Small Signal'!$B$33*'Small Signal'!$B$6*'Small Signal'!$B$27*'Small Signal'!$B$7*'Small Signal'!$B$8),'Small Signal'!$B$33*'Small Signal'!$B$6*'Small Signal'!$B$27),IMSUM(IMSUM(IMPRODUCT(H109,('Small Signal'!$B$5+'Small Signal'!$B$6)*('Small Signal'!$B$32*'Small Signal'!$B$33)+'Small Signal'!$B$5*'Small Signal'!$B$33*('Small Signal'!$B$8+'Small Signal'!$B$9)+'Small Signal'!$B$6*'Small Signal'!$B$33*('Small Signal'!$B$8+'Small Signal'!$B$9)+'Small Signal'!$B$7*'Small Signal'!$B$8*('Small Signal'!$B$5+'Small Signal'!$B$6)),'Small Signal'!$B$6+'Small Signal'!$B$5),IMPRODUCT(IMPOWER(H109,2),'Small Signal'!$B$32*'Small Signal'!$B$33*'Small Signal'!$B$8*'Small Signal'!$B$7*('Small Signal'!$B$5+'Small Signal'!$B$6)+('Small Signal'!$B$5+'Small Signal'!$B$6)*('Small Signal'!$B$9*'Small Signal'!$B$8*'Small Signal'!$B$33*'Small Signal'!$B$7)))),-1)</f>
        <v>-0.507647791393189+0.510683653089717i</v>
      </c>
      <c r="T109" s="229">
        <f t="shared" si="19"/>
        <v>-2.852478272167324</v>
      </c>
      <c r="U109" s="229">
        <f t="shared" si="20"/>
        <v>134.82918965329895</v>
      </c>
      <c r="V109" s="229" t="str">
        <f t="shared" si="21"/>
        <v>-0.658170549533696+7.99894313445093i</v>
      </c>
      <c r="W109" s="226">
        <f t="shared" si="22"/>
        <v>18.0899563922246</v>
      </c>
      <c r="X109" s="229">
        <f t="shared" si="23"/>
        <v>94.70382571874654</v>
      </c>
      <c r="Y109" s="229" t="str">
        <f t="shared" si="24"/>
        <v>0.827258526310388+24.269963916276i</v>
      </c>
      <c r="Z109" s="226">
        <f t="shared" si="25"/>
        <v>27.706425466684458</v>
      </c>
      <c r="AA109" s="229">
        <f t="shared" si="26"/>
        <v>88.04778949404545</v>
      </c>
    </row>
    <row r="110" spans="6:27" ht="12.75">
      <c r="F110" s="78">
        <v>108</v>
      </c>
      <c r="G110" s="229">
        <f>10^('Small Signal'!F110/30)</f>
        <v>3981.071705534977</v>
      </c>
      <c r="H110" s="229" t="str">
        <f t="shared" si="14"/>
        <v>25013.8112470457i</v>
      </c>
      <c r="I110" s="229">
        <f>IF('Small Signal'!$B$37&gt;=1,Q110+0,N110+0)</f>
        <v>20.66537243172515</v>
      </c>
      <c r="J110" s="229">
        <f>IF('Small Signal'!$B$37&gt;=1,R110,O110)</f>
        <v>-42.37922726204842</v>
      </c>
      <c r="K110" s="229">
        <f>IF('Small Signal'!$B$37&gt;=1,Z110+0,W110+0)</f>
        <v>17.49673853307464</v>
      </c>
      <c r="L110" s="229">
        <f>IF('Small Signal'!$B$37&gt;=1,AA110,X110)</f>
        <v>94.57278538860656</v>
      </c>
      <c r="M110" s="229" t="str">
        <f>IMDIV(IMSUM('Small Signal'!$B$2*'Small Signal'!$B$16*'Small Signal'!$B$38,IMPRODUCT(H110,'Small Signal'!$B$2*'Small Signal'!$B$16*'Small Signal'!$B$38*'Small Signal'!$B$13*'Small Signal'!$B$14)),IMSUM(IMPRODUCT('Small Signal'!$B$11*'Small Signal'!$B$13*('Small Signal'!$B$14+'Small Signal'!$B$16),IMPOWER(H110,2)),IMSUM(IMPRODUCT(H110,('Small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7.97510814264772-7.27697396964727i</v>
      </c>
      <c r="N110" s="229">
        <f t="shared" si="15"/>
        <v>20.66537243172515</v>
      </c>
      <c r="O110" s="229">
        <f t="shared" si="16"/>
        <v>-42.37922726204842</v>
      </c>
      <c r="P110" s="229" t="str">
        <f>IMDIV(IMSUM('Small Signal'!$B$48,IMPRODUCT(H110,'Small Signal'!$B$49)),IMSUM(IMPRODUCT('Small Signal'!$B$52,IMPOWER(H110,2)),IMSUM(IMPRODUCT(H110,'Small Signal'!$B$51),'Small Signal'!$B$50)))</f>
        <v>21.129295221498-24.9881547460661i</v>
      </c>
      <c r="Q110" s="229">
        <f t="shared" si="17"/>
        <v>30.297306664479592</v>
      </c>
      <c r="R110" s="229">
        <f t="shared" si="18"/>
        <v>-49.78305985829715</v>
      </c>
      <c r="S110" s="229" t="str">
        <f>IMPRODUCT(IMDIV(IMSUM(IMPRODUCT(H110,'Small Signal'!$B$33*'Small Signal'!$B$6*'Small Signal'!$B$27*'Small Signal'!$B$7*'Small Signal'!$B$8),'Small Signal'!$B$33*'Small Signal'!$B$6*'Small Signal'!$B$27),IMSUM(IMSUM(IMPRODUCT(H110,('Small Signal'!$B$5+'Small Signal'!$B$6)*('Small Signal'!$B$32*'Small Signal'!$B$33)+'Small Signal'!$B$5*'Small Signal'!$B$33*('Small Signal'!$B$8+'Small Signal'!$B$9)+'Small Signal'!$B$6*'Small Signal'!$B$33*('Small Signal'!$B$8+'Small Signal'!$B$9)+'Small Signal'!$B$7*'Small Signal'!$B$8*('Small Signal'!$B$5+'Small Signal'!$B$6)),'Small Signal'!$B$6+'Small Signal'!$B$5),IMPRODUCT(IMPOWER(H110,2),'Small Signal'!$B$32*'Small Signal'!$B$33*'Small Signal'!$B$8*'Small Signal'!$B$7*('Small Signal'!$B$5+'Small Signal'!$B$6)+('Small Signal'!$B$5+'Small Signal'!$B$6)*('Small Signal'!$B$9*'Small Signal'!$B$8*'Small Signal'!$B$33*'Small Signal'!$B$7)))),-1)</f>
        <v>-0.50740681154124+0.473959648984796i</v>
      </c>
      <c r="T110" s="229">
        <f t="shared" si="19"/>
        <v>-3.1686338986505063</v>
      </c>
      <c r="U110" s="229">
        <f t="shared" si="20"/>
        <v>136.95201265065498</v>
      </c>
      <c r="V110" s="229" t="str">
        <f t="shared" si="21"/>
        <v>-0.597632166031943+7.47226561551242i</v>
      </c>
      <c r="W110" s="226">
        <f t="shared" si="22"/>
        <v>17.49673853307464</v>
      </c>
      <c r="X110" s="229">
        <f t="shared" si="23"/>
        <v>94.57278538860656</v>
      </c>
      <c r="Y110" s="229" t="str">
        <f t="shared" si="24"/>
        <v>1.12222873376939+22.6935932724778i</v>
      </c>
      <c r="Z110" s="226">
        <f t="shared" si="25"/>
        <v>27.128672765829073</v>
      </c>
      <c r="AA110" s="229">
        <f t="shared" si="26"/>
        <v>87.16895279235784</v>
      </c>
    </row>
    <row r="111" spans="6:27" ht="12.75">
      <c r="F111" s="78">
        <v>109</v>
      </c>
      <c r="G111" s="229">
        <f>10^('Small Signal'!F111/30)</f>
        <v>4298.662347082283</v>
      </c>
      <c r="H111" s="229" t="str">
        <f t="shared" si="14"/>
        <v>27009.2920997135i</v>
      </c>
      <c r="I111" s="229">
        <f>IF('Small Signal'!$B$37&gt;=1,Q111+0,N111+0)</f>
        <v>20.3631389234573</v>
      </c>
      <c r="J111" s="229">
        <f>IF('Small Signal'!$B$37&gt;=1,R111,O111)</f>
        <v>-44.6621716108497</v>
      </c>
      <c r="K111" s="229">
        <f>IF('Small Signal'!$B$37&gt;=1,Z111+0,W111+0)</f>
        <v>16.90368094319283</v>
      </c>
      <c r="L111" s="229">
        <f>IF('Small Signal'!$B$37&gt;=1,AA111,X111)</f>
        <v>94.39383732608026</v>
      </c>
      <c r="M111" s="229" t="str">
        <f>IMDIV(IMSUM('Small Signal'!$B$2*'Small Signal'!$B$16*'Small Signal'!$B$38,IMPRODUCT(H111,'Small Signal'!$B$2*'Small Signal'!$B$16*'Small Signal'!$B$38*'Small Signal'!$B$13*'Small Signal'!$B$14)),IMSUM(IMPRODUCT('Small Signal'!$B$11*'Small Signal'!$B$13*('Small Signal'!$B$14+'Small Signal'!$B$16),IMPOWER(H111,2)),IMSUM(IMPRODUCT(H111,('Small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7.41630536907397-7.32936070425553i</v>
      </c>
      <c r="N111" s="229">
        <f t="shared" si="15"/>
        <v>20.3631389234573</v>
      </c>
      <c r="O111" s="229">
        <f t="shared" si="16"/>
        <v>-44.6621716108497</v>
      </c>
      <c r="P111" s="229" t="str">
        <f>IMDIV(IMSUM('Small Signal'!$B$48,IMPRODUCT(H111,'Small Signal'!$B$49)),IMSUM(IMPRODUCT('Small Signal'!$B$52,IMPOWER(H111,2)),IMSUM(IMPRODUCT(H111,'Small Signal'!$B$51),'Small Signal'!$B$50)))</f>
        <v>19.0935715095117-25.2406786138437i</v>
      </c>
      <c r="Q111" s="229">
        <f t="shared" si="17"/>
        <v>30.00718739854473</v>
      </c>
      <c r="R111" s="229">
        <f t="shared" si="18"/>
        <v>-52.89394106738706</v>
      </c>
      <c r="S111" s="229" t="str">
        <f>IMPRODUCT(IMDIV(IMSUM(IMPRODUCT(H111,'Small Signal'!$B$33*'Small Signal'!$B$6*'Small Signal'!$B$27*'Small Signal'!$B$7*'Small Signal'!$B$8),'Small Signal'!$B$33*'Small Signal'!$B$6*'Small Signal'!$B$27),IMSUM(IMSUM(IMPRODUCT(H111,('Small Signal'!$B$5+'Small Signal'!$B$6)*('Small Signal'!$B$32*'Small Signal'!$B$33)+'Small Signal'!$B$5*'Small Signal'!$B$33*('Small Signal'!$B$8+'Small Signal'!$B$9)+'Small Signal'!$B$6*'Small Signal'!$B$33*('Small Signal'!$B$8+'Small Signal'!$B$9)+'Small Signal'!$B$7*'Small Signal'!$B$8*('Small Signal'!$B$5+'Small Signal'!$B$6)),'Small Signal'!$B$6+'Small Signal'!$B$5),IMPRODUCT(IMPOWER(H111,2),'Small Signal'!$B$32*'Small Signal'!$B$33*'Small Signal'!$B$8*'Small Signal'!$B$7*('Small Signal'!$B$5+'Small Signal'!$B$6)+('Small Signal'!$B$5+'Small Signal'!$B$6)*('Small Signal'!$B$9*'Small Signal'!$B$8*'Small Signal'!$B$33*'Small Signal'!$B$7)))),-1)</f>
        <v>-0.507195798328246+0.440028856138613i</v>
      </c>
      <c r="T111" s="229">
        <f t="shared" si="19"/>
        <v>-3.4594579802644714</v>
      </c>
      <c r="U111" s="229">
        <f t="shared" si="20"/>
        <v>139.05600893692994</v>
      </c>
      <c r="V111" s="229" t="str">
        <f t="shared" si="21"/>
        <v>-0.53638871539267+6.98080932195883i</v>
      </c>
      <c r="W111" s="226">
        <f t="shared" si="22"/>
        <v>16.90368094319283</v>
      </c>
      <c r="X111" s="229">
        <f t="shared" si="23"/>
        <v>94.39383732608026</v>
      </c>
      <c r="Y111" s="229" t="str">
        <f t="shared" si="24"/>
        <v>1.42244769390775+21.2036885708264i</v>
      </c>
      <c r="Z111" s="226">
        <f t="shared" si="25"/>
        <v>26.547729418280262</v>
      </c>
      <c r="AA111" s="229">
        <f t="shared" si="26"/>
        <v>86.16206786954291</v>
      </c>
    </row>
    <row r="112" spans="6:27" ht="12.75">
      <c r="F112" s="78">
        <v>110</v>
      </c>
      <c r="G112" s="229">
        <f>10^('Small Signal'!F112/30)</f>
        <v>4641.588833612778</v>
      </c>
      <c r="H112" s="229" t="str">
        <f t="shared" si="14"/>
        <v>29163.9627613246i</v>
      </c>
      <c r="I112" s="229">
        <f>IF('Small Signal'!$B$37&gt;=1,Q112+0,N112+0)</f>
        <v>20.03535824954522</v>
      </c>
      <c r="J112" s="229">
        <f>IF('Small Signal'!$B$37&gt;=1,R112,O112)</f>
        <v>-46.96213139771416</v>
      </c>
      <c r="K112" s="229">
        <f>IF('Small Signal'!$B$37&gt;=1,Z112+0,W112+0)</f>
        <v>16.309912926958855</v>
      </c>
      <c r="L112" s="229">
        <f>IF('Small Signal'!$B$37&gt;=1,AA112,X112)</f>
        <v>94.16621576832968</v>
      </c>
      <c r="M112" s="229" t="str">
        <f>IMDIV(IMSUM('Small Signal'!$B$2*'Small Signal'!$B$16*'Small Signal'!$B$38,IMPRODUCT(H112,'Small Signal'!$B$2*'Small Signal'!$B$16*'Small Signal'!$B$38*'Small Signal'!$B$13*'Small Signal'!$B$14)),IMSUM(IMPRODUCT('Small Signal'!$B$11*'Small Signal'!$B$13*('Small Signal'!$B$14+'Small Signal'!$B$16),IMPOWER(H112,2)),IMSUM(IMPRODUCT(H112,('Small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6.8526547324407-7.33884188041238i</v>
      </c>
      <c r="N112" s="229">
        <f t="shared" si="15"/>
        <v>20.03535824954522</v>
      </c>
      <c r="O112" s="229">
        <f t="shared" si="16"/>
        <v>-46.96213139771416</v>
      </c>
      <c r="P112" s="229" t="str">
        <f>IMDIV(IMSUM('Small Signal'!$B$48,IMPRODUCT(H112,'Small Signal'!$B$49)),IMSUM(IMPRODUCT('Small Signal'!$B$52,IMPOWER(H112,2)),IMSUM(IMPRODUCT(H112,'Small Signal'!$B$51),'Small Signal'!$B$50)))</f>
        <v>17.0103367665118-25.3200352113894i</v>
      </c>
      <c r="Q112" s="229">
        <f t="shared" si="17"/>
        <v>29.686957194077586</v>
      </c>
      <c r="R112" s="229">
        <f t="shared" si="18"/>
        <v>-56.106268608284346</v>
      </c>
      <c r="S112" s="229" t="str">
        <f>IMPRODUCT(IMDIV(IMSUM(IMPRODUCT(H112,'Small Signal'!$B$33*'Small Signal'!$B$6*'Small Signal'!$B$27*'Small Signal'!$B$7*'Small Signal'!$B$8),'Small Signal'!$B$33*'Small Signal'!$B$6*'Small Signal'!$B$27),IMSUM(IMSUM(IMPRODUCT(H112,('Small Signal'!$B$5+'Small Signal'!$B$6)*('Small Signal'!$B$32*'Small Signal'!$B$33)+'Small Signal'!$B$5*'Small Signal'!$B$33*('Small Signal'!$B$8+'Small Signal'!$B$9)+'Small Signal'!$B$6*'Small Signal'!$B$33*('Small Signal'!$B$8+'Small Signal'!$B$9)+'Small Signal'!$B$7*'Small Signal'!$B$8*('Small Signal'!$B$5+'Small Signal'!$B$6)),'Small Signal'!$B$6+'Small Signal'!$B$5),IMPRODUCT(IMPOWER(H112,2),'Small Signal'!$B$32*'Small Signal'!$B$33*'Small Signal'!$B$8*'Small Signal'!$B$7*('Small Signal'!$B$5+'Small Signal'!$B$6)+('Small Signal'!$B$5+'Small Signal'!$B$6)*('Small Signal'!$B$9*'Small Signal'!$B$8*'Small Signal'!$B$33*'Small Signal'!$B$7)))),-1)</f>
        <v>-0.507009770383608+0.408691312331423i</v>
      </c>
      <c r="T112" s="229">
        <f t="shared" si="19"/>
        <v>-3.72544532258636</v>
      </c>
      <c r="U112" s="229">
        <f t="shared" si="20"/>
        <v>141.12834716604382</v>
      </c>
      <c r="V112" s="229" t="str">
        <f t="shared" si="21"/>
        <v>-0.47504198331436+6.52148499222481i</v>
      </c>
      <c r="W112" s="226">
        <f t="shared" si="22"/>
        <v>16.309912926958855</v>
      </c>
      <c r="X112" s="229">
        <f t="shared" si="23"/>
        <v>94.16621576832968</v>
      </c>
      <c r="Y112" s="229" t="str">
        <f t="shared" si="24"/>
        <v>1.72367148068358+19.7894820949366i</v>
      </c>
      <c r="Z112" s="226">
        <f t="shared" si="25"/>
        <v>25.96151187149124</v>
      </c>
      <c r="AA112" s="229">
        <f t="shared" si="26"/>
        <v>85.02207855775953</v>
      </c>
    </row>
    <row r="113" spans="6:27" ht="12.75">
      <c r="F113" s="78">
        <v>111</v>
      </c>
      <c r="G113" s="229">
        <f>10^('Small Signal'!F113/30)</f>
        <v>5011.872336272732</v>
      </c>
      <c r="H113" s="229" t="str">
        <f t="shared" si="14"/>
        <v>31490.5226247287i</v>
      </c>
      <c r="I113" s="229">
        <f>IF('Small Signal'!$B$37&gt;=1,Q113+0,N113+0)</f>
        <v>19.681948208671468</v>
      </c>
      <c r="J113" s="229">
        <f>IF('Small Signal'!$B$37&gt;=1,R113,O113)</f>
        <v>-49.2668087679876</v>
      </c>
      <c r="K113" s="229">
        <f>IF('Small Signal'!$B$37&gt;=1,Z113+0,W113+0)</f>
        <v>15.714589670010879</v>
      </c>
      <c r="L113" s="229">
        <f>IF('Small Signal'!$B$37&gt;=1,AA113,X113)</f>
        <v>93.89013878750006</v>
      </c>
      <c r="M113" s="229" t="str">
        <f>IMDIV(IMSUM('Small Signal'!$B$2*'Small Signal'!$B$16*'Small Signal'!$B$38,IMPRODUCT(H113,'Small Signal'!$B$2*'Small Signal'!$B$16*'Small Signal'!$B$38*'Small Signal'!$B$13*'Small Signal'!$B$14)),IMSUM(IMPRODUCT('Small Signal'!$B$11*'Small Signal'!$B$13*('Small Signal'!$B$14+'Small Signal'!$B$16),IMPOWER(H113,2)),IMSUM(IMPRODUCT(H113,('Small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6.29075644270654-7.30511492442071i</v>
      </c>
      <c r="N113" s="229">
        <f t="shared" si="15"/>
        <v>19.681948208671468</v>
      </c>
      <c r="O113" s="229">
        <f t="shared" si="16"/>
        <v>-49.2668087679876</v>
      </c>
      <c r="P113" s="229" t="str">
        <f>IMDIV(IMSUM('Small Signal'!$B$48,IMPRODUCT(H113,'Small Signal'!$B$49)),IMSUM(IMPRODUCT('Small Signal'!$B$52,IMPOWER(H113,2)),IMSUM(IMPRODUCT(H113,'Small Signal'!$B$51),'Small Signal'!$B$50)))</f>
        <v>14.9062702056933-25.2163856780481i</v>
      </c>
      <c r="Q113" s="229">
        <f t="shared" si="17"/>
        <v>29.33519174476693</v>
      </c>
      <c r="R113" s="229">
        <f t="shared" si="18"/>
        <v>-59.411210534620956</v>
      </c>
      <c r="S113" s="229" t="str">
        <f>IMPRODUCT(IMDIV(IMSUM(IMPRODUCT(H113,'Small Signal'!$B$33*'Small Signal'!$B$6*'Small Signal'!$B$27*'Small Signal'!$B$7*'Small Signal'!$B$8),'Small Signal'!$B$33*'Small Signal'!$B$6*'Small Signal'!$B$27),IMSUM(IMSUM(IMPRODUCT(H113,('Small Signal'!$B$5+'Small Signal'!$B$6)*('Small Signal'!$B$32*'Small Signal'!$B$33)+'Small Signal'!$B$5*'Small Signal'!$B$33*('Small Signal'!$B$8+'Small Signal'!$B$9)+'Small Signal'!$B$6*'Small Signal'!$B$33*('Small Signal'!$B$8+'Small Signal'!$B$9)+'Small Signal'!$B$7*'Small Signal'!$B$8*('Small Signal'!$B$5+'Small Signal'!$B$6)),'Small Signal'!$B$6+'Small Signal'!$B$5),IMPRODUCT(IMPOWER(H113,2),'Small Signal'!$B$32*'Small Signal'!$B$33*'Small Signal'!$B$8*'Small Signal'!$B$7*('Small Signal'!$B$5+'Small Signal'!$B$6)+('Small Signal'!$B$5+'Small Signal'!$B$6)*('Small Signal'!$B$9*'Small Signal'!$B$8*'Small Signal'!$B$33*'Small Signal'!$B$7)))),-1)</f>
        <v>-0.506844336364925+0.379762327275557i</v>
      </c>
      <c r="T113" s="229">
        <f t="shared" si="19"/>
        <v>-3.967358538660583</v>
      </c>
      <c r="U113" s="229">
        <f t="shared" si="20"/>
        <v>143.15694755548765</v>
      </c>
      <c r="V113" s="229" t="str">
        <f t="shared" si="21"/>
        <v>-0.414226829723559+6.09154843294346i</v>
      </c>
      <c r="W113" s="226">
        <f t="shared" si="22"/>
        <v>15.714589670010879</v>
      </c>
      <c r="X113" s="229">
        <f t="shared" si="23"/>
        <v>93.89013878750006</v>
      </c>
      <c r="Y113" s="229" t="str">
        <f t="shared" si="24"/>
        <v>2.02107468049269+18.4416221288247i</v>
      </c>
      <c r="Z113" s="226">
        <f t="shared" si="25"/>
        <v>25.367833206106365</v>
      </c>
      <c r="AA113" s="229">
        <f t="shared" si="26"/>
        <v>83.74573702086676</v>
      </c>
    </row>
    <row r="114" spans="6:27" ht="12.75">
      <c r="F114" s="78">
        <v>112</v>
      </c>
      <c r="G114" s="229">
        <f>10^('Small Signal'!F114/30)</f>
        <v>5411.695265464639</v>
      </c>
      <c r="H114" s="229" t="str">
        <f t="shared" si="14"/>
        <v>34002.6841789008i</v>
      </c>
      <c r="I114" s="229">
        <f>IF('Small Signal'!$B$37&gt;=1,Q114+0,N114+0)</f>
        <v>19.303123303632947</v>
      </c>
      <c r="J114" s="229">
        <f>IF('Small Signal'!$B$37&gt;=1,R114,O114)</f>
        <v>-51.56405204297763</v>
      </c>
      <c r="K114" s="229">
        <f>IF('Small Signal'!$B$37&gt;=1,Z114+0,W114+0)</f>
        <v>15.116928277512649</v>
      </c>
      <c r="L114" s="229">
        <f>IF('Small Signal'!$B$37&gt;=1,AA114,X114)</f>
        <v>93.56671457726884</v>
      </c>
      <c r="M114" s="229" t="str">
        <f>IMDIV(IMSUM('Small Signal'!$B$2*'Small Signal'!$B$16*'Small Signal'!$B$38,IMPRODUCT(H114,'Small Signal'!$B$2*'Small Signal'!$B$16*'Small Signal'!$B$38*'Small Signal'!$B$13*'Small Signal'!$B$14)),IMSUM(IMPRODUCT('Small Signal'!$B$11*'Small Signal'!$B$13*('Small Signal'!$B$14+'Small Signal'!$B$16),IMPOWER(H114,2)),IMSUM(IMPRODUCT(H114,('Small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5.73712967863289-7.22913410761068i</v>
      </c>
      <c r="N114" s="229">
        <f t="shared" si="15"/>
        <v>19.303123303632947</v>
      </c>
      <c r="O114" s="229">
        <f t="shared" si="16"/>
        <v>-51.56405204297763</v>
      </c>
      <c r="P114" s="229" t="str">
        <f>IMDIV(IMSUM('Small Signal'!$B$48,IMPRODUCT(H114,'Small Signal'!$B$49)),IMSUM(IMPRODUCT('Small Signal'!$B$52,IMPOWER(H114,2)),IMSUM(IMPRODUCT(H114,'Small Signal'!$B$51),'Small Signal'!$B$50)))</f>
        <v>12.8101755936757-24.9249509731625i</v>
      </c>
      <c r="Q114" s="229">
        <f t="shared" si="17"/>
        <v>28.95065338253638</v>
      </c>
      <c r="R114" s="229">
        <f t="shared" si="18"/>
        <v>-62.799107578321106</v>
      </c>
      <c r="S114" s="229" t="str">
        <f>IMPRODUCT(IMDIV(IMSUM(IMPRODUCT(H114,'Small Signal'!$B$33*'Small Signal'!$B$6*'Small Signal'!$B$27*'Small Signal'!$B$7*'Small Signal'!$B$8),'Small Signal'!$B$33*'Small Signal'!$B$6*'Small Signal'!$B$27),IMSUM(IMSUM(IMPRODUCT(H114,('Small Signal'!$B$5+'Small Signal'!$B$6)*('Small Signal'!$B$32*'Small Signal'!$B$33)+'Small Signal'!$B$5*'Small Signal'!$B$33*('Small Signal'!$B$8+'Small Signal'!$B$9)+'Small Signal'!$B$6*'Small Signal'!$B$33*('Small Signal'!$B$8+'Small Signal'!$B$9)+'Small Signal'!$B$7*'Small Signal'!$B$8*('Small Signal'!$B$5+'Small Signal'!$B$6)),'Small Signal'!$B$6+'Small Signal'!$B$5),IMPRODUCT(IMPOWER(H114,2),'Small Signal'!$B$32*'Small Signal'!$B$33*'Small Signal'!$B$8*'Small Signal'!$B$7*('Small Signal'!$B$5+'Small Signal'!$B$6)+('Small Signal'!$B$5+'Small Signal'!$B$6)*('Small Signal'!$B$9*'Small Signal'!$B$8*'Small Signal'!$B$33*'Small Signal'!$B$7)))),-1)</f>
        <v>-0.506695591356145+0.35307139459343i</v>
      </c>
      <c r="T114" s="229">
        <f t="shared" si="19"/>
        <v>-4.186195026120297</v>
      </c>
      <c r="U114" s="229">
        <f t="shared" si="20"/>
        <v>145.13076662024648</v>
      </c>
      <c r="V114" s="229" t="str">
        <f t="shared" si="21"/>
        <v>-0.354577854124748+5.68858675824694i</v>
      </c>
      <c r="W114" s="226">
        <f t="shared" si="22"/>
        <v>15.116928277512649</v>
      </c>
      <c r="X114" s="229">
        <f t="shared" si="23"/>
        <v>93.56671457726884</v>
      </c>
      <c r="Y114" s="229" t="str">
        <f t="shared" si="24"/>
        <v>2.30942770245379+17.1522693347153i</v>
      </c>
      <c r="Z114" s="226">
        <f t="shared" si="25"/>
        <v>24.76445835641609</v>
      </c>
      <c r="AA114" s="229">
        <f t="shared" si="26"/>
        <v>82.33165904192538</v>
      </c>
    </row>
    <row r="115" spans="6:27" ht="12.75">
      <c r="F115" s="78">
        <v>113</v>
      </c>
      <c r="G115" s="229">
        <f>10^('Small Signal'!F115/30)</f>
        <v>5843.41413373518</v>
      </c>
      <c r="H115" s="229" t="str">
        <f t="shared" si="14"/>
        <v>36715.2538288504i</v>
      </c>
      <c r="I115" s="229">
        <f>IF('Small Signal'!$B$37&gt;=1,Q115+0,N115+0)</f>
        <v>18.89938390301756</v>
      </c>
      <c r="J115" s="229">
        <f>IF('Small Signal'!$B$37&gt;=1,R115,O115)</f>
        <v>-53.84222739785888</v>
      </c>
      <c r="K115" s="229">
        <f>IF('Small Signal'!$B$37&gt;=1,Z115+0,W115+0)</f>
        <v>14.516237814896208</v>
      </c>
      <c r="L115" s="229">
        <f>IF('Small Signal'!$B$37&gt;=1,AA115,X115)</f>
        <v>93.19778684319176</v>
      </c>
      <c r="M115" s="229" t="str">
        <f>IMDIV(IMSUM('Small Signal'!$B$2*'Small Signal'!$B$16*'Small Signal'!$B$38,IMPRODUCT(H115,'Small Signal'!$B$2*'Small Signal'!$B$16*'Small Signal'!$B$38*'Small Signal'!$B$13*'Small Signal'!$B$14)),IMSUM(IMPRODUCT('Small Signal'!$B$11*'Small Signal'!$B$13*('Small Signal'!$B$14+'Small Signal'!$B$16),IMPOWER(H115,2)),IMSUM(IMPRODUCT(H115,('Small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5.19791455006207-7.11304328754514i</v>
      </c>
      <c r="N115" s="229">
        <f t="shared" si="15"/>
        <v>18.89938390301756</v>
      </c>
      <c r="O115" s="229">
        <f t="shared" si="16"/>
        <v>-53.84222739785888</v>
      </c>
      <c r="P115" s="229" t="str">
        <f>IMDIV(IMSUM('Small Signal'!$B$48,IMPRODUCT(H115,'Small Signal'!$B$49)),IMSUM(IMPRODUCT('Small Signal'!$B$52,IMPOWER(H115,2)),IMSUM(IMPRODUCT(H115,'Small Signal'!$B$51),'Small Signal'!$B$50)))</f>
        <v>10.7517585342776-24.4464880939658i</v>
      </c>
      <c r="Q115" s="229">
        <f t="shared" si="17"/>
        <v>28.532302670086736</v>
      </c>
      <c r="R115" s="229">
        <f t="shared" si="18"/>
        <v>-66.25972755098584</v>
      </c>
      <c r="S115" s="229" t="str">
        <f>IMPRODUCT(IMDIV(IMSUM(IMPRODUCT(H115,'Small Signal'!$B$33*'Small Signal'!$B$6*'Small Signal'!$B$27*'Small Signal'!$B$7*'Small Signal'!$B$8),'Small Signal'!$B$33*'Small Signal'!$B$6*'Small Signal'!$B$27),IMSUM(IMSUM(IMPRODUCT(H115,('Small Signal'!$B$5+'Small Signal'!$B$6)*('Small Signal'!$B$32*'Small Signal'!$B$33)+'Small Signal'!$B$5*'Small Signal'!$B$33*('Small Signal'!$B$8+'Small Signal'!$B$9)+'Small Signal'!$B$6*'Small Signal'!$B$33*('Small Signal'!$B$8+'Small Signal'!$B$9)+'Small Signal'!$B$7*'Small Signal'!$B$8*('Small Signal'!$B$5+'Small Signal'!$B$6)),'Small Signal'!$B$6+'Small Signal'!$B$5),IMPRODUCT(IMPOWER(H115,2),'Small Signal'!$B$32*'Small Signal'!$B$33*'Small Signal'!$B$8*'Small Signal'!$B$7*('Small Signal'!$B$5+'Small Signal'!$B$6)+('Small Signal'!$B$5+'Small Signal'!$B$6)*('Small Signal'!$B$9*'Small Signal'!$B$8*'Small Signal'!$B$33*'Small Signal'!$B$7)))),-1)</f>
        <v>-0.506560024769111+0.328461186762964i</v>
      </c>
      <c r="T115" s="229">
        <f t="shared" si="19"/>
        <v>-4.383146088121354</v>
      </c>
      <c r="U115" s="229">
        <f t="shared" si="20"/>
        <v>147.04001424105064</v>
      </c>
      <c r="V115" s="229" t="str">
        <f t="shared" si="21"/>
        <v>-0.296697083503753+5.31049656572849i</v>
      </c>
      <c r="W115" s="226">
        <f t="shared" si="22"/>
        <v>14.516237814896208</v>
      </c>
      <c r="X115" s="229">
        <f t="shared" si="23"/>
        <v>93.19778684319176</v>
      </c>
      <c r="Y115" s="229" t="str">
        <f t="shared" si="24"/>
        <v>2.58331142209552+15.9151489823547i</v>
      </c>
      <c r="Z115" s="226">
        <f t="shared" si="25"/>
        <v>24.149156581965364</v>
      </c>
      <c r="AA115" s="229">
        <f t="shared" si="26"/>
        <v>80.78028669006477</v>
      </c>
    </row>
    <row r="116" spans="6:27" ht="12.75">
      <c r="F116" s="78">
        <v>114</v>
      </c>
      <c r="G116" s="229">
        <f>10^('Small Signal'!F116/30)</f>
        <v>6309.573444801938</v>
      </c>
      <c r="H116" s="229" t="str">
        <f t="shared" si="14"/>
        <v>39644.21916295i</v>
      </c>
      <c r="I116" s="229">
        <f>IF('Small Signal'!$B$37&gt;=1,Q116+0,N116+0)</f>
        <v>18.47149255951585</v>
      </c>
      <c r="J116" s="229">
        <f>IF('Small Signal'!$B$37&gt;=1,R116,O116)</f>
        <v>-56.09055838944164</v>
      </c>
      <c r="K116" s="229">
        <f>IF('Small Signal'!$B$37&gt;=1,Z116+0,W116+0)</f>
        <v>13.911940970457426</v>
      </c>
      <c r="L116" s="229">
        <f>IF('Small Signal'!$B$37&gt;=1,AA116,X116)</f>
        <v>92.78573678488549</v>
      </c>
      <c r="M116" s="229" t="str">
        <f>IMDIV(IMSUM('Small Signal'!$B$2*'Small Signal'!$B$16*'Small Signal'!$B$38,IMPRODUCT(H116,'Small Signal'!$B$2*'Small Signal'!$B$16*'Small Signal'!$B$38*'Small Signal'!$B$13*'Small Signal'!$B$14)),IMSUM(IMPRODUCT('Small Signal'!$B$11*'Small Signal'!$B$13*('Small Signal'!$B$14+'Small Signal'!$B$16),IMPOWER(H116,2)),IMSUM(IMPRODUCT(H116,('Small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4.67861039320668-6.96002900384459i</v>
      </c>
      <c r="N116" s="229">
        <f t="shared" si="15"/>
        <v>18.47149255951585</v>
      </c>
      <c r="O116" s="229">
        <f t="shared" si="16"/>
        <v>-56.09055838944164</v>
      </c>
      <c r="P116" s="229" t="str">
        <f>IMDIV(IMSUM('Small Signal'!$B$48,IMPRODUCT(H116,'Small Signal'!$B$49)),IMSUM(IMPRODUCT('Small Signal'!$B$52,IMPOWER(H116,2)),IMSUM(IMPRODUCT(H116,'Small Signal'!$B$51),'Small Signal'!$B$50)))</f>
        <v>8.76030405758719-23.787412619643i</v>
      </c>
      <c r="Q116" s="229">
        <f t="shared" si="17"/>
        <v>28.079298578503046</v>
      </c>
      <c r="R116" s="229">
        <f t="shared" si="18"/>
        <v>-69.78252030951279</v>
      </c>
      <c r="S116" s="229" t="str">
        <f>IMPRODUCT(IMDIV(IMSUM(IMPRODUCT(H116,'Small Signal'!$B$33*'Small Signal'!$B$6*'Small Signal'!$B$27*'Small Signal'!$B$7*'Small Signal'!$B$8),'Small Signal'!$B$33*'Small Signal'!$B$6*'Small Signal'!$B$27),IMSUM(IMSUM(IMPRODUCT(H116,('Small Signal'!$B$5+'Small Signal'!$B$6)*('Small Signal'!$B$32*'Small Signal'!$B$33)+'Small Signal'!$B$5*'Small Signal'!$B$33*('Small Signal'!$B$8+'Small Signal'!$B$9)+'Small Signal'!$B$6*'Small Signal'!$B$33*('Small Signal'!$B$8+'Small Signal'!$B$9)+'Small Signal'!$B$7*'Small Signal'!$B$8*('Small Signal'!$B$5+'Small Signal'!$B$6)),'Small Signal'!$B$6+'Small Signal'!$B$5),IMPRODUCT(IMPOWER(H116,2),'Small Signal'!$B$32*'Small Signal'!$B$33*'Small Signal'!$B$8*'Small Signal'!$B$7*('Small Signal'!$B$5+'Small Signal'!$B$6)+('Small Signal'!$B$5+'Small Signal'!$B$6)*('Small Signal'!$B$9*'Small Signal'!$B$8*'Small Signal'!$B$33*'Small Signal'!$B$7)))),-1)</f>
        <v>-0.506434437583307+0.305786627101532i</v>
      </c>
      <c r="T116" s="229">
        <f t="shared" si="19"/>
        <v>-4.559551589058419</v>
      </c>
      <c r="U116" s="229">
        <f t="shared" si="20"/>
        <v>148.8762951743271</v>
      </c>
      <c r="V116" s="229" t="str">
        <f t="shared" si="21"/>
        <v>-0.241125629540567+4.95545486578638i</v>
      </c>
      <c r="W116" s="226">
        <f t="shared" si="22"/>
        <v>13.911940970457426</v>
      </c>
      <c r="X116" s="229">
        <f t="shared" si="23"/>
        <v>92.78573678488549</v>
      </c>
      <c r="Y116" s="229" t="str">
        <f t="shared" si="24"/>
        <v>2.83735301397012+14.7255487617444i</v>
      </c>
      <c r="Z116" s="226">
        <f t="shared" si="25"/>
        <v>23.51974698944462</v>
      </c>
      <c r="AA116" s="229">
        <f t="shared" si="26"/>
        <v>79.09377486481432</v>
      </c>
    </row>
    <row r="117" spans="6:27" ht="12.75">
      <c r="F117" s="78">
        <v>115</v>
      </c>
      <c r="G117" s="229">
        <f>10^('Small Signal'!F117/30)</f>
        <v>6812.920690579622</v>
      </c>
      <c r="H117" s="229" t="str">
        <f t="shared" si="14"/>
        <v>42806.8431820297i</v>
      </c>
      <c r="I117" s="229">
        <f>IF('Small Signal'!$B$37&gt;=1,Q117+0,N117+0)</f>
        <v>18.020439665350068</v>
      </c>
      <c r="J117" s="229">
        <f>IF('Small Signal'!$B$37&gt;=1,R117,O117)</f>
        <v>-58.29941203640654</v>
      </c>
      <c r="K117" s="229">
        <f>IF('Small Signal'!$B$37&gt;=1,Z117+0,W117+0)</f>
        <v>13.303586150240239</v>
      </c>
      <c r="L117" s="229">
        <f>IF('Small Signal'!$B$37&gt;=1,AA117,X117)</f>
        <v>92.33326265276479</v>
      </c>
      <c r="M117" s="229" t="str">
        <f>IMDIV(IMSUM('Small Signal'!$B$2*'Small Signal'!$B$16*'Small Signal'!$B$38,IMPRODUCT(H117,'Small Signal'!$B$2*'Small Signal'!$B$16*'Small Signal'!$B$38*'Small Signal'!$B$13*'Small Signal'!$B$14)),IMSUM(IMPRODUCT('Small Signal'!$B$11*'Small Signal'!$B$13*('Small Signal'!$B$14+'Small Signal'!$B$16),IMPOWER(H117,2)),IMSUM(IMPRODUCT(H117,('Small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4.18387297113287-6.77411215577179i</v>
      </c>
      <c r="N117" s="229">
        <f t="shared" si="15"/>
        <v>18.020439665350068</v>
      </c>
      <c r="O117" s="229">
        <f t="shared" si="16"/>
        <v>-58.29941203640654</v>
      </c>
      <c r="P117" s="229" t="str">
        <f>IMDIV(IMSUM('Small Signal'!$B$48,IMPRODUCT(H117,'Small Signal'!$B$49)),IMSUM(IMPRODUCT('Small Signal'!$B$52,IMPOWER(H117,2)),IMSUM(IMPRODUCT(H117,'Small Signal'!$B$51),'Small Signal'!$B$50)))</f>
        <v>6.86337357481747-22.9595550818902i</v>
      </c>
      <c r="Q117" s="229">
        <f t="shared" si="17"/>
        <v>27.590987852241547</v>
      </c>
      <c r="R117" s="229">
        <f t="shared" si="18"/>
        <v>-73.35684779523767</v>
      </c>
      <c r="S117" s="229" t="str">
        <f>IMPRODUCT(IMDIV(IMSUM(IMPRODUCT(H117,'Small Signal'!$B$33*'Small Signal'!$B$6*'Small Signal'!$B$27*'Small Signal'!$B$7*'Small Signal'!$B$8),'Small Signal'!$B$33*'Small Signal'!$B$6*'Small Signal'!$B$27),IMSUM(IMSUM(IMPRODUCT(H117,('Small Signal'!$B$5+'Small Signal'!$B$6)*('Small Signal'!$B$32*'Small Signal'!$B$33)+'Small Signal'!$B$5*'Small Signal'!$B$33*('Small Signal'!$B$8+'Small Signal'!$B$9)+'Small Signal'!$B$6*'Small Signal'!$B$33*('Small Signal'!$B$8+'Small Signal'!$B$9)+'Small Signal'!$B$7*'Small Signal'!$B$8*('Small Signal'!$B$5+'Small Signal'!$B$6)),'Small Signal'!$B$6+'Small Signal'!$B$5),IMPRODUCT(IMPOWER(H117,2),'Small Signal'!$B$32*'Small Signal'!$B$33*'Small Signal'!$B$8*'Small Signal'!$B$7*('Small Signal'!$B$5+'Small Signal'!$B$6)+('Small Signal'!$B$5+'Small Signal'!$B$6)*('Small Signal'!$B$9*'Small Signal'!$B$8*'Small Signal'!$B$33*'Small Signal'!$B$7)))),-1)</f>
        <v>-0.506315866981685+0.284914033279913i</v>
      </c>
      <c r="T117" s="229">
        <f t="shared" si="19"/>
        <v>-4.716853515109827</v>
      </c>
      <c r="U117" s="229">
        <f t="shared" si="20"/>
        <v>150.63267468917132</v>
      </c>
      <c r="V117" s="229" t="str">
        <f t="shared" si="21"/>
        <v>-0.188321654528951+4.62188459211704i</v>
      </c>
      <c r="W117" s="226">
        <f t="shared" si="22"/>
        <v>13.303586150240239</v>
      </c>
      <c r="X117" s="229">
        <f t="shared" si="23"/>
        <v>92.33326265276479</v>
      </c>
      <c r="Y117" s="229" t="str">
        <f t="shared" si="24"/>
        <v>3.06646449874077+13.580258483909i</v>
      </c>
      <c r="Z117" s="226">
        <f t="shared" si="25"/>
        <v>22.874134337131714</v>
      </c>
      <c r="AA117" s="229">
        <f t="shared" si="26"/>
        <v>77.27582689393364</v>
      </c>
    </row>
    <row r="118" spans="6:27" ht="12.75">
      <c r="F118" s="78">
        <v>116</v>
      </c>
      <c r="G118" s="229">
        <f>10^('Small Signal'!F118/30)</f>
        <v>7356.422544596425</v>
      </c>
      <c r="H118" s="229" t="str">
        <f t="shared" si="14"/>
        <v>46221.7660456129i</v>
      </c>
      <c r="I118" s="229">
        <f>IF('Small Signal'!$B$37&gt;=1,Q118+0,N118+0)</f>
        <v>17.547401452261916</v>
      </c>
      <c r="J118" s="229">
        <f>IF('Small Signal'!$B$37&gt;=1,R118,O118)</f>
        <v>-60.46051661515124</v>
      </c>
      <c r="K118" s="229">
        <f>IF('Small Signal'!$B$37&gt;=1,Z118+0,W118+0)</f>
        <v>12.690850040818823</v>
      </c>
      <c r="L118" s="229">
        <f>IF('Small Signal'!$B$37&gt;=1,AA118,X118)</f>
        <v>91.84315787145769</v>
      </c>
      <c r="M118" s="229" t="str">
        <f>IMDIV(IMSUM('Small Signal'!$B$2*'Small Signal'!$B$16*'Small Signal'!$B$38,IMPRODUCT(H118,'Small Signal'!$B$2*'Small Signal'!$B$16*'Small Signal'!$B$38*'Small Signal'!$B$13*'Small Signal'!$B$14)),IMSUM(IMPRODUCT('Small Signal'!$B$11*'Small Signal'!$B$13*('Small Signal'!$B$14+'Small Signal'!$B$16),IMPOWER(H118,2)),IMSUM(IMPRODUCT(H118,('Small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3.71738416783957-6.55990256000006i</v>
      </c>
      <c r="N118" s="229">
        <f t="shared" si="15"/>
        <v>17.547401452261916</v>
      </c>
      <c r="O118" s="229">
        <f t="shared" si="16"/>
        <v>-60.46051661515124</v>
      </c>
      <c r="P118" s="229" t="str">
        <f>IMDIV(IMSUM('Small Signal'!$B$48,IMPRODUCT(H118,'Small Signal'!$B$49)),IMSUM(IMPRODUCT('Small Signal'!$B$52,IMPOWER(H118,2)),IMSUM(IMPRODUCT(H118,'Small Signal'!$B$51),'Small Signal'!$B$50)))</f>
        <v>5.08563439792368-21.9795830842676i</v>
      </c>
      <c r="Q118" s="229">
        <f t="shared" si="17"/>
        <v>27.066885580170357</v>
      </c>
      <c r="R118" s="229">
        <f t="shared" si="18"/>
        <v>-76.97216634383145</v>
      </c>
      <c r="S118" s="229" t="str">
        <f>IMPRODUCT(IMDIV(IMSUM(IMPRODUCT(H118,'Small Signal'!$B$33*'Small Signal'!$B$6*'Small Signal'!$B$27*'Small Signal'!$B$7*'Small Signal'!$B$8),'Small Signal'!$B$33*'Small Signal'!$B$6*'Small Signal'!$B$27),IMSUM(IMSUM(IMPRODUCT(H118,('Small Signal'!$B$5+'Small Signal'!$B$6)*('Small Signal'!$B$32*'Small Signal'!$B$33)+'Small Signal'!$B$5*'Small Signal'!$B$33*('Small Signal'!$B$8+'Small Signal'!$B$9)+'Small Signal'!$B$6*'Small Signal'!$B$33*('Small Signal'!$B$8+'Small Signal'!$B$9)+'Small Signal'!$B$7*'Small Signal'!$B$8*('Small Signal'!$B$5+'Small Signal'!$B$6)),'Small Signal'!$B$6+'Small Signal'!$B$5),IMPRODUCT(IMPOWER(H118,2),'Small Signal'!$B$32*'Small Signal'!$B$33*'Small Signal'!$B$8*'Small Signal'!$B$7*('Small Signal'!$B$5+'Small Signal'!$B$6)+('Small Signal'!$B$5+'Small Signal'!$B$6)*('Small Signal'!$B$9*'Small Signal'!$B$8*'Small Signal'!$B$33*'Small Signal'!$B$7)))),-1)</f>
        <v>-0.506201516618884+0.265720327243784i</v>
      </c>
      <c r="T118" s="229">
        <f t="shared" si="19"/>
        <v>-4.856551411443089</v>
      </c>
      <c r="U118" s="229">
        <f t="shared" si="20"/>
        <v>152.30367448660894</v>
      </c>
      <c r="V118" s="229" t="str">
        <f t="shared" si="21"/>
        <v>-0.138646048684866+4.30841716231332i</v>
      </c>
      <c r="W118" s="226">
        <f t="shared" si="22"/>
        <v>12.690850040818823</v>
      </c>
      <c r="X118" s="229">
        <f t="shared" si="23"/>
        <v>91.84315787145769</v>
      </c>
      <c r="Y118" s="229" t="str">
        <f t="shared" si="24"/>
        <v>3.26606616463539+12.4774547283656i</v>
      </c>
      <c r="Z118" s="226">
        <f t="shared" si="25"/>
        <v>22.210334168727304</v>
      </c>
      <c r="AA118" s="229">
        <f t="shared" si="26"/>
        <v>75.33150814277757</v>
      </c>
    </row>
    <row r="119" spans="6:27" ht="12.75">
      <c r="F119" s="78">
        <v>117</v>
      </c>
      <c r="G119" s="229">
        <f>10^('Small Signal'!F119/30)</f>
        <v>7943.282347242815</v>
      </c>
      <c r="H119" s="229" t="str">
        <f t="shared" si="14"/>
        <v>49909.114934975i</v>
      </c>
      <c r="I119" s="229">
        <f>IF('Small Signal'!$B$37&gt;=1,Q119+0,N119+0)</f>
        <v>17.053693729284856</v>
      </c>
      <c r="J119" s="229">
        <f>IF('Small Signal'!$B$37&gt;=1,R119,O119)</f>
        <v>-62.56710396581163</v>
      </c>
      <c r="K119" s="229">
        <f>IF('Small Signal'!$B$37&gt;=1,Z119+0,W119+0)</f>
        <v>12.073531712659534</v>
      </c>
      <c r="L119" s="229">
        <f>IF('Small Signal'!$B$37&gt;=1,AA119,X119)</f>
        <v>91.31810574636728</v>
      </c>
      <c r="M119" s="229" t="str">
        <f>IMDIV(IMSUM('Small Signal'!$B$2*'Small Signal'!$B$16*'Small Signal'!$B$38,IMPRODUCT(H119,'Small Signal'!$B$2*'Small Signal'!$B$16*'Small Signal'!$B$38*'Small Signal'!$B$13*'Small Signal'!$B$14)),IMSUM(IMPRODUCT('Small Signal'!$B$11*'Small Signal'!$B$13*('Small Signal'!$B$14+'Small Signal'!$B$16),IMPOWER(H119,2)),IMSUM(IMPRODUCT(H119,('Small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3.28179765440278-6.32234240798877i</v>
      </c>
      <c r="N119" s="229">
        <f t="shared" si="15"/>
        <v>17.053693729284856</v>
      </c>
      <c r="O119" s="229">
        <f t="shared" si="16"/>
        <v>-62.56710396581163</v>
      </c>
      <c r="P119" s="229" t="str">
        <f>IMDIV(IMSUM('Small Signal'!$B$48,IMPRODUCT(H119,'Small Signal'!$B$49)),IMSUM(IMPRODUCT('Small Signal'!$B$52,IMPOWER(H119,2)),IMSUM(IMPRODUCT(H119,'Small Signal'!$B$51),'Small Signal'!$B$50)))</f>
        <v>3.44791172327599-20.8681577685135i</v>
      </c>
      <c r="Q119" s="229">
        <f t="shared" si="17"/>
        <v>26.506650168802075</v>
      </c>
      <c r="R119" s="229">
        <f t="shared" si="18"/>
        <v>-80.61814470537658</v>
      </c>
      <c r="S119" s="229" t="str">
        <f>IMPRODUCT(IMDIV(IMSUM(IMPRODUCT(H119,'Small Signal'!$B$33*'Small Signal'!$B$6*'Small Signal'!$B$27*'Small Signal'!$B$7*'Small Signal'!$B$8),'Small Signal'!$B$33*'Small Signal'!$B$6*'Small Signal'!$B$27),IMSUM(IMSUM(IMPRODUCT(H119,('Small Signal'!$B$5+'Small Signal'!$B$6)*('Small Signal'!$B$32*'Small Signal'!$B$33)+'Small Signal'!$B$5*'Small Signal'!$B$33*('Small Signal'!$B$8+'Small Signal'!$B$9)+'Small Signal'!$B$6*'Small Signal'!$B$33*('Small Signal'!$B$8+'Small Signal'!$B$9)+'Small Signal'!$B$7*'Small Signal'!$B$8*('Small Signal'!$B$5+'Small Signal'!$B$6)),'Small Signal'!$B$6+'Small Signal'!$B$5),IMPRODUCT(IMPOWER(H119,2),'Small Signal'!$B$32*'Small Signal'!$B$33*'Small Signal'!$B$8*'Small Signal'!$B$7*('Small Signal'!$B$5+'Small Signal'!$B$6)+('Small Signal'!$B$5+'Small Signal'!$B$6)*('Small Signal'!$B$9*'Small Signal'!$B$8*'Small Signal'!$B$33*'Small Signal'!$B$7)))),-1)</f>
        <v>-0.506088690896382+0.248092306772335i</v>
      </c>
      <c r="T119" s="229">
        <f t="shared" si="19"/>
        <v>-4.980162016625323</v>
      </c>
      <c r="U119" s="229">
        <f t="shared" si="20"/>
        <v>153.88520971217892</v>
      </c>
      <c r="V119" s="229" t="str">
        <f t="shared" si="21"/>
        <v>-0.0923561665010271+4.01385474309854i</v>
      </c>
      <c r="W119" s="226">
        <f t="shared" si="22"/>
        <v>12.073531712659534</v>
      </c>
      <c r="X119" s="229">
        <f t="shared" si="23"/>
        <v>91.31810574636728</v>
      </c>
      <c r="Y119" s="229" t="str">
        <f t="shared" si="24"/>
        <v>3.4322802685205+11.4165390194611i</v>
      </c>
      <c r="Z119" s="226">
        <f t="shared" si="25"/>
        <v>21.526488152176768</v>
      </c>
      <c r="AA119" s="229">
        <f t="shared" si="26"/>
        <v>73.2670650068024</v>
      </c>
    </row>
    <row r="120" spans="6:27" ht="12.75">
      <c r="F120" s="78">
        <v>118</v>
      </c>
      <c r="G120" s="229">
        <f>10^('Small Signal'!F120/30)</f>
        <v>8576.958985908945</v>
      </c>
      <c r="H120" s="229" t="str">
        <f t="shared" si="14"/>
        <v>53890.622680545i</v>
      </c>
      <c r="I120" s="229">
        <f>IF('Small Signal'!$B$37&gt;=1,Q120+0,N120+0)</f>
        <v>16.540724691955575</v>
      </c>
      <c r="J120" s="229">
        <f>IF('Small Signal'!$B$37&gt;=1,R120,O120)</f>
        <v>-64.61397661776873</v>
      </c>
      <c r="K120" s="229">
        <f>IF('Small Signal'!$B$37&gt;=1,Z120+0,W120+0)</f>
        <v>11.451540041015297</v>
      </c>
      <c r="L120" s="229">
        <f>IF('Small Signal'!$B$37&gt;=1,AA120,X120)</f>
        <v>90.76050384598199</v>
      </c>
      <c r="M120" s="229" t="str">
        <f>IMDIV(IMSUM('Small Signal'!$B$2*'Small Signal'!$B$16*'Small Signal'!$B$38,IMPRODUCT(H120,'Small Signal'!$B$2*'Small Signal'!$B$16*'Small Signal'!$B$38*'Small Signal'!$B$13*'Small Signal'!$B$14)),IMSUM(IMPRODUCT('Small Signal'!$B$11*'Small Signal'!$B$13*('Small Signal'!$B$14+'Small Signal'!$B$16),IMPOWER(H120,2)),IMSUM(IMPRODUCT(H120,('Small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2.87875478829474-6.06646227803093i</v>
      </c>
      <c r="N120" s="229">
        <f t="shared" si="15"/>
        <v>16.540724691955575</v>
      </c>
      <c r="O120" s="229">
        <f t="shared" si="16"/>
        <v>-64.61397661776873</v>
      </c>
      <c r="P120" s="229" t="str">
        <f>IMDIV(IMSUM('Small Signal'!$B$48,IMPRODUCT(H120,'Small Signal'!$B$49)),IMSUM(IMPRODUCT('Small Signal'!$B$52,IMPOWER(H120,2)),IMSUM(IMPRODUCT(H120,'Small Signal'!$B$51),'Small Signal'!$B$50)))</f>
        <v>1.96651836715341-19.6489154540095i</v>
      </c>
      <c r="Q120" s="229">
        <f t="shared" si="17"/>
        <v>25.910056648193603</v>
      </c>
      <c r="R120" s="229">
        <f t="shared" si="18"/>
        <v>-84.28471009476065</v>
      </c>
      <c r="S120" s="229" t="str">
        <f>IMPRODUCT(IMDIV(IMSUM(IMPRODUCT(H120,'Small Signal'!$B$33*'Small Signal'!$B$6*'Small Signal'!$B$27*'Small Signal'!$B$7*'Small Signal'!$B$8),'Small Signal'!$B$33*'Small Signal'!$B$6*'Small Signal'!$B$27),IMSUM(IMSUM(IMPRODUCT(H120,('Small Signal'!$B$5+'Small Signal'!$B$6)*('Small Signal'!$B$32*'Small Signal'!$B$33)+'Small Signal'!$B$5*'Small Signal'!$B$33*('Small Signal'!$B$8+'Small Signal'!$B$9)+'Small Signal'!$B$6*'Small Signal'!$B$33*('Small Signal'!$B$8+'Small Signal'!$B$9)+'Small Signal'!$B$7*'Small Signal'!$B$8*('Small Signal'!$B$5+'Small Signal'!$B$6)),'Small Signal'!$B$6+'Small Signal'!$B$5),IMPRODUCT(IMPOWER(H120,2),'Small Signal'!$B$32*'Small Signal'!$B$33*'Small Signal'!$B$8*'Small Signal'!$B$7*('Small Signal'!$B$5+'Small Signal'!$B$6)+('Small Signal'!$B$5+'Small Signal'!$B$6)*('Small Signal'!$B$9*'Small Signal'!$B$8*'Small Signal'!$B$33*'Small Signal'!$B$7)))),-1)</f>
        <v>-0.505974731720844+0.231925974221661i</v>
      </c>
      <c r="T120" s="229">
        <f t="shared" si="19"/>
        <v>-5.089184650940281</v>
      </c>
      <c r="U120" s="229">
        <f t="shared" si="20"/>
        <v>155.3744804637507</v>
      </c>
      <c r="V120" s="229" t="str">
        <f t="shared" si="21"/>
        <v>-0.0496070077862456+3.73713463244185i</v>
      </c>
      <c r="W120" s="226">
        <f t="shared" si="22"/>
        <v>11.451540041015297</v>
      </c>
      <c r="X120" s="229">
        <f t="shared" si="23"/>
        <v>90.76050384598199</v>
      </c>
      <c r="Y120" s="229" t="str">
        <f t="shared" si="24"/>
        <v>3.56208525582565+10.3979414135748i</v>
      </c>
      <c r="Z120" s="226">
        <f t="shared" si="25"/>
        <v>20.820871997253292</v>
      </c>
      <c r="AA120" s="229">
        <f t="shared" si="26"/>
        <v>71.08977036898995</v>
      </c>
    </row>
    <row r="121" spans="6:27" ht="12.75">
      <c r="F121" s="78">
        <v>119</v>
      </c>
      <c r="G121" s="229">
        <f>10^('Small Signal'!F121/30)</f>
        <v>9261.187281287941</v>
      </c>
      <c r="H121" s="229" t="str">
        <f t="shared" si="14"/>
        <v>58189.7558528268i</v>
      </c>
      <c r="I121" s="229">
        <f>IF('Small Signal'!$B$37&gt;=1,Q121+0,N121+0)</f>
        <v>16.009949708718423</v>
      </c>
      <c r="J121" s="229">
        <f>IF('Small Signal'!$B$37&gt;=1,R121,O121)</f>
        <v>-66.59750636977921</v>
      </c>
      <c r="K121" s="229">
        <f>IF('Small Signal'!$B$37&gt;=1,Z121+0,W121+0)</f>
        <v>10.82487654473137</v>
      </c>
      <c r="L121" s="229">
        <f>IF('Small Signal'!$B$37&gt;=1,AA121,X121)</f>
        <v>90.17232549608093</v>
      </c>
      <c r="M121" s="229" t="str">
        <f>IMDIV(IMSUM('Small Signal'!$B$2*'Small Signal'!$B$16*'Small Signal'!$B$38,IMPRODUCT(H121,'Small Signal'!$B$2*'Small Signal'!$B$16*'Small Signal'!$B$38*'Small Signal'!$B$13*'Small Signal'!$B$14)),IMSUM(IMPRODUCT('Small Signal'!$B$11*'Small Signal'!$B$13*('Small Signal'!$B$14+'Small Signal'!$B$16),IMPOWER(H121,2)),IMSUM(IMPRODUCT(H121,('Small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2.50895817512761-5.79716801927385i</v>
      </c>
      <c r="N121" s="229">
        <f t="shared" si="15"/>
        <v>16.009949708718423</v>
      </c>
      <c r="O121" s="229">
        <f t="shared" si="16"/>
        <v>-66.59750636977921</v>
      </c>
      <c r="P121" s="229" t="str">
        <f>IMDIV(IMSUM('Small Signal'!$B$48,IMPRODUCT(H121,'Small Signal'!$B$49)),IMSUM(IMPRODUCT('Small Signal'!$B$52,IMPOWER(H121,2)),IMSUM(IMPRODUCT(H121,'Small Signal'!$B$51),'Small Signal'!$B$50)))</f>
        <v>0.652879930050507-18.3473705393594i</v>
      </c>
      <c r="Q121" s="229">
        <f t="shared" si="17"/>
        <v>25.276972408214085</v>
      </c>
      <c r="R121" s="229">
        <f t="shared" si="18"/>
        <v>-87.96202472392176</v>
      </c>
      <c r="S121" s="229" t="str">
        <f>IMPRODUCT(IMDIV(IMSUM(IMPRODUCT(H121,'Small Signal'!$B$33*'Small Signal'!$B$6*'Small Signal'!$B$27*'Small Signal'!$B$7*'Small Signal'!$B$8),'Small Signal'!$B$33*'Small Signal'!$B$6*'Small Signal'!$B$27),IMSUM(IMSUM(IMPRODUCT(H121,('Small Signal'!$B$5+'Small Signal'!$B$6)*('Small Signal'!$B$32*'Small Signal'!$B$33)+'Small Signal'!$B$5*'Small Signal'!$B$33*('Small Signal'!$B$8+'Small Signal'!$B$9)+'Small Signal'!$B$6*'Small Signal'!$B$33*('Small Signal'!$B$8+'Small Signal'!$B$9)+'Small Signal'!$B$7*'Small Signal'!$B$8*('Small Signal'!$B$5+'Small Signal'!$B$6)),'Small Signal'!$B$6+'Small Signal'!$B$5),IMPRODUCT(IMPOWER(H121,2),'Small Signal'!$B$32*'Small Signal'!$B$33*'Small Signal'!$B$8*'Small Signal'!$B$7*('Small Signal'!$B$5+'Small Signal'!$B$6)+('Small Signal'!$B$5+'Small Signal'!$B$6)*('Small Signal'!$B$9*'Small Signal'!$B$8*'Small Signal'!$B$33*'Small Signal'!$B$7)))),-1)</f>
        <v>-0.505856956290546+0.217125918284454i</v>
      </c>
      <c r="T121" s="229">
        <f t="shared" si="19"/>
        <v>-5.185073163987049</v>
      </c>
      <c r="U121" s="229">
        <f t="shared" si="20"/>
        <v>156.76983186586014</v>
      </c>
      <c r="V121" s="229" t="str">
        <f t="shared" si="21"/>
        <v>-0.0104585162962314+3.47729761704663i</v>
      </c>
      <c r="W121" s="226">
        <f t="shared" si="22"/>
        <v>10.82487654473137</v>
      </c>
      <c r="X121" s="229">
        <f t="shared" si="23"/>
        <v>90.17232549608093</v>
      </c>
      <c r="Y121" s="229" t="str">
        <f t="shared" si="24"/>
        <v>3.65342582222501+9.42290217131688i</v>
      </c>
      <c r="Z121" s="226">
        <f t="shared" si="25"/>
        <v>20.091899244227033</v>
      </c>
      <c r="AA121" s="229">
        <f t="shared" si="26"/>
        <v>68.80780714193841</v>
      </c>
    </row>
    <row r="122" spans="6:27" ht="12.75">
      <c r="F122" s="78">
        <v>120</v>
      </c>
      <c r="G122" s="229">
        <f>10^('Small Signal'!F122/30)</f>
        <v>10000</v>
      </c>
      <c r="H122" s="229" t="str">
        <f t="shared" si="14"/>
        <v>62831.8530717959i</v>
      </c>
      <c r="I122" s="229">
        <f>IF('Small Signal'!$B$37&gt;=1,Q122+0,N122+0)</f>
        <v>15.462830321130967</v>
      </c>
      <c r="J122" s="229">
        <f>IF('Small Signal'!$B$37&gt;=1,R122,O122)</f>
        <v>-68.5155754292694</v>
      </c>
      <c r="K122" s="229">
        <f>IF('Small Signal'!$B$37&gt;=1,Z122+0,W122+0)</f>
        <v>10.193615722853021</v>
      </c>
      <c r="L122" s="229">
        <f>IF('Small Signal'!$B$37&gt;=1,AA122,X122)</f>
        <v>89.55502050386511</v>
      </c>
      <c r="M122" s="229" t="str">
        <f>IMDIV(IMSUM('Small Signal'!$B$2*'Small Signal'!$B$16*'Small Signal'!$B$38,IMPRODUCT(H122,'Small Signal'!$B$2*'Small Signal'!$B$16*'Small Signal'!$B$38*'Small Signal'!$B$13*'Small Signal'!$B$14)),IMSUM(IMPRODUCT('Small Signal'!$B$11*'Small Signal'!$B$13*('Small Signal'!$B$14+'Small Signal'!$B$16),IMPOWER(H122,2)),IMSUM(IMPRODUCT(H122,('Small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2.17228656954741-5.51907002746678i</v>
      </c>
      <c r="N122" s="229">
        <f t="shared" si="15"/>
        <v>15.462830321130967</v>
      </c>
      <c r="O122" s="229">
        <f t="shared" si="16"/>
        <v>-68.5155754292694</v>
      </c>
      <c r="P122" s="229" t="str">
        <f>IMDIV(IMSUM('Small Signal'!$B$48,IMPRODUCT(H122,'Small Signal'!$B$49)),IMSUM(IMPRODUCT('Small Signal'!$B$52,IMPOWER(H122,2)),IMSUM(IMPRODUCT(H122,'Small Signal'!$B$51),'Small Signal'!$B$50)))</f>
        <v>-0.486559652915677-16.989826002098i</v>
      </c>
      <c r="Q122" s="229">
        <f t="shared" si="17"/>
        <v>24.60733903787281</v>
      </c>
      <c r="R122" s="229">
        <f t="shared" si="18"/>
        <v>-91.64040508655863</v>
      </c>
      <c r="S122" s="229" t="str">
        <f>IMPRODUCT(IMDIV(IMSUM(IMPRODUCT(H122,'Small Signal'!$B$33*'Small Signal'!$B$6*'Small Signal'!$B$27*'Small Signal'!$B$7*'Small Signal'!$B$8),'Small Signal'!$B$33*'Small Signal'!$B$6*'Small Signal'!$B$27),IMSUM(IMSUM(IMPRODUCT(H122,('Small Signal'!$B$5+'Small Signal'!$B$6)*('Small Signal'!$B$32*'Small Signal'!$B$33)+'Small Signal'!$B$5*'Small Signal'!$B$33*('Small Signal'!$B$8+'Small Signal'!$B$9)+'Small Signal'!$B$6*'Small Signal'!$B$33*('Small Signal'!$B$8+'Small Signal'!$B$9)+'Small Signal'!$B$7*'Small Signal'!$B$8*('Small Signal'!$B$5+'Small Signal'!$B$6)),'Small Signal'!$B$6+'Small Signal'!$B$5),IMPRODUCT(IMPOWER(H122,2),'Small Signal'!$B$32*'Small Signal'!$B$33*'Small Signal'!$B$8*'Small Signal'!$B$7*('Small Signal'!$B$5+'Small Signal'!$B$6)+('Small Signal'!$B$5+'Small Signal'!$B$6)*('Small Signal'!$B$9*'Small Signal'!$B$8*'Small Signal'!$B$33*'Small Signal'!$B$7)))),-1)</f>
        <v>-0.5057325944922+0.203604744845894i</v>
      </c>
      <c r="T122" s="229">
        <f t="shared" si="19"/>
        <v>-5.26921459827793</v>
      </c>
      <c r="U122" s="229">
        <f t="shared" si="20"/>
        <v>158.07059593313448</v>
      </c>
      <c r="V122" s="229" t="str">
        <f t="shared" si="21"/>
        <v>0.0251127219312226+3.23346145689977i</v>
      </c>
      <c r="W122" s="226">
        <f t="shared" si="22"/>
        <v>10.193615722853021</v>
      </c>
      <c r="X122" s="229">
        <f t="shared" si="23"/>
        <v>89.55502050386511</v>
      </c>
      <c r="Y122" s="229" t="str">
        <f t="shared" si="24"/>
        <v>3.70527826377757+8.49324293002786i</v>
      </c>
      <c r="Z122" s="226">
        <f t="shared" si="25"/>
        <v>19.33812443959488</v>
      </c>
      <c r="AA122" s="229">
        <f t="shared" si="26"/>
        <v>66.43019084657585</v>
      </c>
    </row>
    <row r="123" spans="6:27" ht="12.75">
      <c r="F123" s="78">
        <v>121</v>
      </c>
      <c r="G123" s="229">
        <f>10^('Small Signal'!F123/30)</f>
        <v>10797.751623277109</v>
      </c>
      <c r="H123" s="229" t="str">
        <f t="shared" si="14"/>
        <v>67844.2743499492i</v>
      </c>
      <c r="I123" s="229">
        <f>IF('Small Signal'!$B$37&gt;=1,Q123+0,N123+0)</f>
        <v>14.900798924365585</v>
      </c>
      <c r="J123" s="229">
        <f>IF('Small Signal'!$B$37&gt;=1,R123,O123)</f>
        <v>-70.36747361511891</v>
      </c>
      <c r="K123" s="229">
        <f>IF('Small Signal'!$B$37&gt;=1,Z123+0,W123+0)</f>
        <v>9.55788469560608</v>
      </c>
      <c r="L123" s="229">
        <f>IF('Small Signal'!$B$37&gt;=1,AA123,X123)</f>
        <v>88.90945297695873</v>
      </c>
      <c r="M123" s="229" t="str">
        <f>IMDIV(IMSUM('Small Signal'!$B$2*'Small Signal'!$B$16*'Small Signal'!$B$38,IMPRODUCT(H123,'Small Signal'!$B$2*'Small Signal'!$B$16*'Small Signal'!$B$38*'Small Signal'!$B$13*'Small Signal'!$B$14)),IMSUM(IMPRODUCT('Small Signal'!$B$11*'Small Signal'!$B$13*('Small Signal'!$B$14+'Small Signal'!$B$16),IMPOWER(H123,2)),IMSUM(IMPRODUCT(H123,('Small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1.86793403072239-5.23635963104418i</v>
      </c>
      <c r="N123" s="229">
        <f t="shared" si="15"/>
        <v>14.900798924365585</v>
      </c>
      <c r="O123" s="229">
        <f t="shared" si="16"/>
        <v>-70.36747361511891</v>
      </c>
      <c r="P123" s="229" t="str">
        <f>IMDIV(IMSUM('Small Signal'!$B$48,IMPRODUCT(H123,'Small Signal'!$B$49)),IMSUM(IMPRODUCT('Small Signal'!$B$52,IMPOWER(H123,2)),IMSUM(IMPRODUCT(H123,'Small Signal'!$B$51),'Small Signal'!$B$50)))</f>
        <v>-1.45018974221248-15.6023582974179i</v>
      </c>
      <c r="Q123" s="229">
        <f t="shared" si="17"/>
        <v>23.901162992037882</v>
      </c>
      <c r="R123" s="229">
        <f t="shared" si="18"/>
        <v>-95.3102043220498</v>
      </c>
      <c r="S123" s="229" t="str">
        <f>IMPRODUCT(IMDIV(IMSUM(IMPRODUCT(H123,'Small Signal'!$B$33*'Small Signal'!$B$6*'Small Signal'!$B$27*'Small Signal'!$B$7*'Small Signal'!$B$8),'Small Signal'!$B$33*'Small Signal'!$B$6*'Small Signal'!$B$27),IMSUM(IMSUM(IMPRODUCT(H123,('Small Signal'!$B$5+'Small Signal'!$B$6)*('Small Signal'!$B$32*'Small Signal'!$B$33)+'Small Signal'!$B$5*'Small Signal'!$B$33*('Small Signal'!$B$8+'Small Signal'!$B$9)+'Small Signal'!$B$6*'Small Signal'!$B$33*('Small Signal'!$B$8+'Small Signal'!$B$9)+'Small Signal'!$B$7*'Small Signal'!$B$8*('Small Signal'!$B$5+'Small Signal'!$B$6)),'Small Signal'!$B$6+'Small Signal'!$B$5),IMPRODUCT(IMPOWER(H123,2),'Small Signal'!$B$32*'Small Signal'!$B$33*'Small Signal'!$B$8*'Small Signal'!$B$7*('Small Signal'!$B$5+'Small Signal'!$B$6)+('Small Signal'!$B$5+'Small Signal'!$B$6)*('Small Signal'!$B$9*'Small Signal'!$B$8*'Small Signal'!$B$33*'Small Signal'!$B$7)))),-1)</f>
        <v>-0.505598724499677+0.191282553227197i</v>
      </c>
      <c r="T123" s="229">
        <f t="shared" si="19"/>
        <v>-5.342914228759522</v>
      </c>
      <c r="U123" s="229">
        <f t="shared" si="20"/>
        <v>159.27692659207764</v>
      </c>
      <c r="V123" s="229" t="str">
        <f t="shared" si="21"/>
        <v>0.0571991764591731+3.00479994113409i</v>
      </c>
      <c r="W123" s="226">
        <f t="shared" si="22"/>
        <v>9.55788469560608</v>
      </c>
      <c r="X123" s="229">
        <f t="shared" si="23"/>
        <v>88.90945297695873</v>
      </c>
      <c r="Y123" s="229" t="str">
        <f t="shared" si="24"/>
        <v>3.71767301544078+7.61113645780715i</v>
      </c>
      <c r="Z123" s="226">
        <f t="shared" si="25"/>
        <v>18.558248763278364</v>
      </c>
      <c r="AA123" s="229">
        <f t="shared" si="26"/>
        <v>63.966722270027866</v>
      </c>
    </row>
    <row r="124" spans="6:27" ht="12.75">
      <c r="F124" s="78">
        <v>122</v>
      </c>
      <c r="G124" s="229">
        <f>10^('Small Signal'!F124/30)</f>
        <v>11659.144011798313</v>
      </c>
      <c r="H124" s="229" t="str">
        <f t="shared" si="14"/>
        <v>73256.562349222i</v>
      </c>
      <c r="I124" s="229">
        <f>IF('Small Signal'!$B$37&gt;=1,Q124+0,N124+0)</f>
        <v>14.32522984603165</v>
      </c>
      <c r="J124" s="229">
        <f>IF('Small Signal'!$B$37&gt;=1,R124,O124)</f>
        <v>-72.15376562959635</v>
      </c>
      <c r="K124" s="229">
        <f>IF('Small Signal'!$B$37&gt;=1,Z124+0,W124+0)</f>
        <v>8.917843540026231</v>
      </c>
      <c r="L124" s="229">
        <f>IF('Small Signal'!$B$37&gt;=1,AA124,X124)</f>
        <v>88.2358712427959</v>
      </c>
      <c r="M124" s="229" t="str">
        <f>IMDIV(IMSUM('Small Signal'!$B$2*'Small Signal'!$B$16*'Small Signal'!$B$38,IMPRODUCT(H124,'Small Signal'!$B$2*'Small Signal'!$B$16*'Small Signal'!$B$38*'Small Signal'!$B$13*'Small Signal'!$B$14)),IMSUM(IMPRODUCT('Small Signal'!$B$11*'Small Signal'!$B$13*('Small Signal'!$B$14+'Small Signal'!$B$16),IMPOWER(H124,2)),IMSUM(IMPRODUCT(H124,('Small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1.59455783472967-4.95273157766255i</v>
      </c>
      <c r="N124" s="229">
        <f t="shared" si="15"/>
        <v>14.32522984603165</v>
      </c>
      <c r="O124" s="229">
        <f t="shared" si="16"/>
        <v>-72.15376562959635</v>
      </c>
      <c r="P124" s="229" t="str">
        <f>IMDIV(IMSUM('Small Signal'!$B$48,IMPRODUCT(H124,'Small Signal'!$B$49)),IMSUM(IMPRODUCT('Small Signal'!$B$52,IMPOWER(H124,2)),IMSUM(IMPRODUCT(H124,'Small Signal'!$B$51),'Small Signal'!$B$50)))</f>
        <v>-2.24089001056178-14.2099206306572i</v>
      </c>
      <c r="Q124" s="229">
        <f t="shared" si="17"/>
        <v>23.15851648030052</v>
      </c>
      <c r="R124" s="229">
        <f t="shared" si="18"/>
        <v>-98.9616831502648</v>
      </c>
      <c r="S124" s="229" t="str">
        <f>IMPRODUCT(IMDIV(IMSUM(IMPRODUCT(H124,'Small Signal'!$B$33*'Small Signal'!$B$6*'Small Signal'!$B$27*'Small Signal'!$B$7*'Small Signal'!$B$8),'Small Signal'!$B$33*'Small Signal'!$B$6*'Small Signal'!$B$27),IMSUM(IMSUM(IMPRODUCT(H124,('Small Signal'!$B$5+'Small Signal'!$B$6)*('Small Signal'!$B$32*'Small Signal'!$B$33)+'Small Signal'!$B$5*'Small Signal'!$B$33*('Small Signal'!$B$8+'Small Signal'!$B$9)+'Small Signal'!$B$6*'Small Signal'!$B$33*('Small Signal'!$B$8+'Small Signal'!$B$9)+'Small Signal'!$B$7*'Small Signal'!$B$8*('Small Signal'!$B$5+'Small Signal'!$B$6)),'Small Signal'!$B$6+'Small Signal'!$B$5),IMPRODUCT(IMPOWER(H124,2),'Small Signal'!$B$32*'Small Signal'!$B$33*'Small Signal'!$B$8*'Small Signal'!$B$7*('Small Signal'!$B$5+'Small Signal'!$B$6)+('Small Signal'!$B$5+'Small Signal'!$B$6)*('Small Signal'!$B$9*'Small Signal'!$B$8*'Small Signal'!$B$33*'Small Signal'!$B$7)))),-1)</f>
        <v>-0.505452205148135+0.180086454280149i</v>
      </c>
      <c r="T124" s="229">
        <f t="shared" si="19"/>
        <v>-5.407386306005435</v>
      </c>
      <c r="U124" s="229">
        <f t="shared" si="20"/>
        <v>160.38963687239223</v>
      </c>
      <c r="V124" s="229" t="str">
        <f t="shared" si="21"/>
        <v>0.0859470950222299+2.79052736403744i</v>
      </c>
      <c r="W124" s="226">
        <f t="shared" si="22"/>
        <v>8.917843540026231</v>
      </c>
      <c r="X124" s="229">
        <f t="shared" si="23"/>
        <v>88.2358712427959</v>
      </c>
      <c r="Y124" s="229" t="str">
        <f t="shared" si="24"/>
        <v>3.69167701931027+6.77888178131178i</v>
      </c>
      <c r="Z124" s="226">
        <f t="shared" si="25"/>
        <v>17.751130174295085</v>
      </c>
      <c r="AA124" s="229">
        <f t="shared" si="26"/>
        <v>61.42795372212744</v>
      </c>
    </row>
    <row r="125" spans="6:27" ht="12.75">
      <c r="F125" s="78">
        <v>123</v>
      </c>
      <c r="G125" s="229">
        <f>10^('Small Signal'!F125/30)</f>
        <v>12589.254117941671</v>
      </c>
      <c r="H125" s="229" t="str">
        <f t="shared" si="14"/>
        <v>79100.6165022012i</v>
      </c>
      <c r="I125" s="229">
        <f>IF('Small Signal'!$B$37&gt;=1,Q125+0,N125+0)</f>
        <v>13.73741690116951</v>
      </c>
      <c r="J125" s="229">
        <f>IF('Small Signal'!$B$37&gt;=1,R125,O125)</f>
        <v>-73.87614142584277</v>
      </c>
      <c r="K125" s="229">
        <f>IF('Small Signal'!$B$37&gt;=1,Z125+0,W125+0)</f>
        <v>8.273667251492306</v>
      </c>
      <c r="L125" s="229">
        <f>IF('Small Signal'!$B$37&gt;=1,AA125,X125)</f>
        <v>87.53390339841128</v>
      </c>
      <c r="M125" s="229" t="str">
        <f>IMDIV(IMSUM('Small Signal'!$B$2*'Small Signal'!$B$16*'Small Signal'!$B$38,IMPRODUCT(H125,'Small Signal'!$B$2*'Small Signal'!$B$16*'Small Signal'!$B$38*'Small Signal'!$B$13*'Small Signal'!$B$14)),IMSUM(IMPRODUCT('Small Signal'!$B$11*'Small Signal'!$B$13*('Small Signal'!$B$14+'Small Signal'!$B$16),IMPOWER(H125,2)),IMSUM(IMPRODUCT(H125,('Small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1.35042268844578-4.67134752429809i</v>
      </c>
      <c r="N125" s="229">
        <f t="shared" si="15"/>
        <v>13.73741690116951</v>
      </c>
      <c r="O125" s="229">
        <f t="shared" si="16"/>
        <v>-73.87614142584277</v>
      </c>
      <c r="P125" s="229" t="str">
        <f>IMDIV(IMSUM('Small Signal'!$B$48,IMPRODUCT(H125,'Small Signal'!$B$49)),IMSUM(IMPRODUCT('Small Signal'!$B$52,IMPOWER(H125,2)),IMSUM(IMPRODUCT(H125,'Small Signal'!$B$51),'Small Signal'!$B$50)))</f>
        <v>-2.86554148475094-12.8355881605146i</v>
      </c>
      <c r="Q125" s="229">
        <f t="shared" si="17"/>
        <v>22.37954845075543</v>
      </c>
      <c r="R125" s="229">
        <f t="shared" si="18"/>
        <v>-102.58489645272262</v>
      </c>
      <c r="S125" s="229" t="str">
        <f>IMPRODUCT(IMDIV(IMSUM(IMPRODUCT(H125,'Small Signal'!$B$33*'Small Signal'!$B$6*'Small Signal'!$B$27*'Small Signal'!$B$7*'Small Signal'!$B$8),'Small Signal'!$B$33*'Small Signal'!$B$6*'Small Signal'!$B$27),IMSUM(IMSUM(IMPRODUCT(H125,('Small Signal'!$B$5+'Small Signal'!$B$6)*('Small Signal'!$B$32*'Small Signal'!$B$33)+'Small Signal'!$B$5*'Small Signal'!$B$33*('Small Signal'!$B$8+'Small Signal'!$B$9)+'Small Signal'!$B$6*'Small Signal'!$B$33*('Small Signal'!$B$8+'Small Signal'!$B$9)+'Small Signal'!$B$7*'Small Signal'!$B$8*('Small Signal'!$B$5+'Small Signal'!$B$6)),'Small Signal'!$B$6+'Small Signal'!$B$5),IMPRODUCT(IMPOWER(H125,2),'Small Signal'!$B$32*'Small Signal'!$B$33*'Small Signal'!$B$8*'Small Signal'!$B$7*('Small Signal'!$B$5+'Small Signal'!$B$6)+('Small Signal'!$B$5+'Small Signal'!$B$6)*('Small Signal'!$B$9*'Small Signal'!$B$8*'Small Signal'!$B$33*'Small Signal'!$B$7)))),-1)</f>
        <v>-0.505289603614288+0.169950126924866i</v>
      </c>
      <c r="T125" s="229">
        <f t="shared" si="19"/>
        <v>-5.463749649677215</v>
      </c>
      <c r="U125" s="229">
        <f t="shared" si="20"/>
        <v>161.41004482425407</v>
      </c>
      <c r="V125" s="229" t="str">
        <f t="shared" si="21"/>
        <v>0.11154155970811+2.58988784620075i</v>
      </c>
      <c r="W125" s="226">
        <f t="shared" si="22"/>
        <v>8.273667251492306</v>
      </c>
      <c r="X125" s="229">
        <f t="shared" si="23"/>
        <v>87.53390339841128</v>
      </c>
      <c r="Y125" s="229" t="str">
        <f t="shared" si="24"/>
        <v>3.62933815800486+5.99869011474078i</v>
      </c>
      <c r="Z125" s="226">
        <f t="shared" si="25"/>
        <v>16.91579880107821</v>
      </c>
      <c r="AA125" s="229">
        <f t="shared" si="26"/>
        <v>58.825148371531476</v>
      </c>
    </row>
    <row r="126" spans="6:27" ht="12.75">
      <c r="F126" s="78">
        <v>124</v>
      </c>
      <c r="G126" s="229">
        <f>10^('Small Signal'!F126/30)</f>
        <v>13593.563908785283</v>
      </c>
      <c r="H126" s="229" t="str">
        <f t="shared" si="14"/>
        <v>85410.8810238864i</v>
      </c>
      <c r="I126" s="229">
        <f>IF('Small Signal'!$B$37&gt;=1,Q126+0,N126+0)</f>
        <v>13.13855701517289</v>
      </c>
      <c r="J126" s="229">
        <f>IF('Small Signal'!$B$37&gt;=1,R126,O126)</f>
        <v>-75.53726075294438</v>
      </c>
      <c r="K126" s="229">
        <f>IF('Small Signal'!$B$37&gt;=1,Z126+0,W126+0)</f>
        <v>7.625529834953674</v>
      </c>
      <c r="L126" s="229">
        <f>IF('Small Signal'!$B$37&gt;=1,AA126,X126)</f>
        <v>86.80257169800755</v>
      </c>
      <c r="M126" s="229" t="str">
        <f>IMDIV(IMSUM('Small Signal'!$B$2*'Small Signal'!$B$16*'Small Signal'!$B$38,IMPRODUCT(H126,'Small Signal'!$B$2*'Small Signal'!$B$16*'Small Signal'!$B$38*'Small Signal'!$B$13*'Small Signal'!$B$14)),IMSUM(IMPRODUCT('Small Signal'!$B$11*'Small Signal'!$B$13*('Small Signal'!$B$14+'Small Signal'!$B$16),IMPOWER(H126,2)),IMSUM(IMPRODUCT(H126,('Small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1.13353241389158-4.39483309094772i</v>
      </c>
      <c r="N126" s="229">
        <f t="shared" si="15"/>
        <v>13.13855701517289</v>
      </c>
      <c r="O126" s="229">
        <f t="shared" si="16"/>
        <v>-75.53726075294438</v>
      </c>
      <c r="P126" s="229" t="str">
        <f>IMDIV(IMSUM('Small Signal'!$B$48,IMPRODUCT(H126,'Small Signal'!$B$49)),IMSUM(IMPRODUCT('Small Signal'!$B$52,IMPOWER(H126,2)),IMSUM(IMPRODUCT(H126,'Small Signal'!$B$51),'Small Signal'!$B$50)))</f>
        <v>-3.3344343274976-11.4999541683736i</v>
      </c>
      <c r="Q126" s="229">
        <f t="shared" si="17"/>
        <v>21.564504037073302</v>
      </c>
      <c r="R126" s="229">
        <f t="shared" si="18"/>
        <v>-106.16962037208974</v>
      </c>
      <c r="S126" s="229" t="str">
        <f>IMPRODUCT(IMDIV(IMSUM(IMPRODUCT(H126,'Small Signal'!$B$33*'Small Signal'!$B$6*'Small Signal'!$B$27*'Small Signal'!$B$7*'Small Signal'!$B$8),'Small Signal'!$B$33*'Small Signal'!$B$6*'Small Signal'!$B$27),IMSUM(IMSUM(IMPRODUCT(H126,('Small Signal'!$B$5+'Small Signal'!$B$6)*('Small Signal'!$B$32*'Small Signal'!$B$33)+'Small Signal'!$B$5*'Small Signal'!$B$33*('Small Signal'!$B$8+'Small Signal'!$B$9)+'Small Signal'!$B$6*'Small Signal'!$B$33*('Small Signal'!$B$8+'Small Signal'!$B$9)+'Small Signal'!$B$7*'Small Signal'!$B$8*('Small Signal'!$B$5+'Small Signal'!$B$6)),'Small Signal'!$B$6+'Small Signal'!$B$5),IMPRODUCT(IMPOWER(H126,2),'Small Signal'!$B$32*'Small Signal'!$B$33*'Small Signal'!$B$8*'Small Signal'!$B$7*('Small Signal'!$B$5+'Small Signal'!$B$6)+('Small Signal'!$B$5+'Small Signal'!$B$6)*('Small Signal'!$B$9*'Small Signal'!$B$8*'Small Signal'!$B$33*'Small Signal'!$B$7)))),-1)</f>
        <v>-0.505107116867849+0.160813409804109i</v>
      </c>
      <c r="T126" s="229">
        <f t="shared" si="19"/>
        <v>-5.513027180219222</v>
      </c>
      <c r="U126" s="229">
        <f t="shared" si="20"/>
        <v>162.33983245095192</v>
      </c>
      <c r="V126" s="229" t="str">
        <f t="shared" si="21"/>
        <v>0.134192805418205+2.40214868428541i</v>
      </c>
      <c r="W126" s="226">
        <f t="shared" si="22"/>
        <v>7.625529834953674</v>
      </c>
      <c r="X126" s="229">
        <f t="shared" si="23"/>
        <v>86.80257169800755</v>
      </c>
      <c r="Y126" s="229" t="str">
        <f t="shared" si="24"/>
        <v>3.53359335195463+5.27248694012683i</v>
      </c>
      <c r="Z126" s="226">
        <f t="shared" si="25"/>
        <v>16.05147685685408</v>
      </c>
      <c r="AA126" s="229">
        <f t="shared" si="26"/>
        <v>56.1702120788622</v>
      </c>
    </row>
    <row r="127" spans="6:27" ht="12.75">
      <c r="F127" s="78">
        <v>125</v>
      </c>
      <c r="G127" s="229">
        <f>10^('Small Signal'!F127/30)</f>
        <v>14677.992676220729</v>
      </c>
      <c r="H127" s="229" t="str">
        <f t="shared" si="14"/>
        <v>92224.5479221197i</v>
      </c>
      <c r="I127" s="229">
        <f>IF('Small Signal'!$B$37&gt;=1,Q127+0,N127+0)</f>
        <v>12.529739184449733</v>
      </c>
      <c r="J127" s="229">
        <f>IF('Small Signal'!$B$37&gt;=1,R127,O127)</f>
        <v>-77.14060054407163</v>
      </c>
      <c r="K127" s="229">
        <f>IF('Small Signal'!$B$37&gt;=1,Z127+0,W127+0)</f>
        <v>6.973590677492389</v>
      </c>
      <c r="L127" s="229">
        <f>IF('Small Signal'!$B$37&gt;=1,AA127,X127)</f>
        <v>86.04031948622101</v>
      </c>
      <c r="M127" s="229" t="str">
        <f>IMDIV(IMSUM('Small Signal'!$B$2*'Small Signal'!$B$16*'Small Signal'!$B$38,IMPRODUCT(H127,'Small Signal'!$B$2*'Small Signal'!$B$16*'Small Signal'!$B$38*'Small Signal'!$B$13*'Small Signal'!$B$14)),IMSUM(IMPRODUCT('Small Signal'!$B$11*'Small Signal'!$B$13*('Small Signal'!$B$14+'Small Signal'!$B$16),IMPOWER(H127,2)),IMSUM(IMPRODUCT(H127,('Small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0.941743794555517-4.12530021328343i</v>
      </c>
      <c r="N127" s="229">
        <f t="shared" si="15"/>
        <v>12.529739184449733</v>
      </c>
      <c r="O127" s="229">
        <f t="shared" si="16"/>
        <v>-77.14060054407163</v>
      </c>
      <c r="P127" s="229" t="str">
        <f>IMDIV(IMSUM('Small Signal'!$B$48,IMPRODUCT(H127,'Small Signal'!$B$49)),IMSUM(IMPRODUCT('Small Signal'!$B$52,IMPOWER(H127,2)),IMSUM(IMPRODUCT(H127,'Small Signal'!$B$51),'Small Signal'!$B$50)))</f>
        <v>-3.66060722469767-10.2206783876901i</v>
      </c>
      <c r="Q127" s="229">
        <f t="shared" si="17"/>
        <v>20.713749558563578</v>
      </c>
      <c r="R127" s="229">
        <f t="shared" si="18"/>
        <v>-109.70533909858487</v>
      </c>
      <c r="S127" s="229" t="str">
        <f>IMPRODUCT(IMDIV(IMSUM(IMPRODUCT(H127,'Small Signal'!$B$33*'Small Signal'!$B$6*'Small Signal'!$B$27*'Small Signal'!$B$7*'Small Signal'!$B$8),'Small Signal'!$B$33*'Small Signal'!$B$6*'Small Signal'!$B$27),IMSUM(IMSUM(IMPRODUCT(H127,('Small Signal'!$B$5+'Small Signal'!$B$6)*('Small Signal'!$B$32*'Small Signal'!$B$33)+'Small Signal'!$B$5*'Small Signal'!$B$33*('Small Signal'!$B$8+'Small Signal'!$B$9)+'Small Signal'!$B$6*'Small Signal'!$B$33*('Small Signal'!$B$8+'Small Signal'!$B$9)+'Small Signal'!$B$7*'Small Signal'!$B$8*('Small Signal'!$B$5+'Small Signal'!$B$6)),'Small Signal'!$B$6+'Small Signal'!$B$5),IMPRODUCT(IMPOWER(H127,2),'Small Signal'!$B$32*'Small Signal'!$B$33*'Small Signal'!$B$8*'Small Signal'!$B$7*('Small Signal'!$B$5+'Small Signal'!$B$6)+('Small Signal'!$B$5+'Small Signal'!$B$6)*('Small Signal'!$B$9*'Small Signal'!$B$8*'Small Signal'!$B$33*'Small Signal'!$B$7)))),-1)</f>
        <v>-0.50490048527286+0.152621924754682i</v>
      </c>
      <c r="T127" s="229">
        <f t="shared" si="19"/>
        <v>-5.556148506957354</v>
      </c>
      <c r="U127" s="229">
        <f t="shared" si="20"/>
        <v>163.1809200302926</v>
      </c>
      <c r="V127" s="229" t="str">
        <f t="shared" si="21"/>
        <v>0.154124359868432+2.22659683013388i</v>
      </c>
      <c r="W127" s="226">
        <f t="shared" si="22"/>
        <v>6.973590677492389</v>
      </c>
      <c r="X127" s="229">
        <f t="shared" si="23"/>
        <v>86.04031948622101</v>
      </c>
      <c r="Y127" s="229" t="str">
        <f t="shared" si="24"/>
        <v>3.40814197197103+4.60173655735831i</v>
      </c>
      <c r="Z127" s="226">
        <f t="shared" si="25"/>
        <v>15.15760105160622</v>
      </c>
      <c r="AA127" s="229">
        <f t="shared" si="26"/>
        <v>53.475580931707775</v>
      </c>
    </row>
    <row r="128" spans="6:27" ht="12.75">
      <c r="F128" s="78">
        <v>126</v>
      </c>
      <c r="G128" s="229">
        <f>10^('Small Signal'!F128/30)</f>
        <v>15848.931924611146</v>
      </c>
      <c r="H128" s="229" t="str">
        <f t="shared" si="14"/>
        <v>99581.7762032062i</v>
      </c>
      <c r="I128" s="229">
        <f>IF('Small Signal'!$B$37&gt;=1,Q128+0,N128+0)</f>
        <v>11.911937871623506</v>
      </c>
      <c r="J128" s="229">
        <f>IF('Small Signal'!$B$37&gt;=1,R128,O128)</f>
        <v>-78.69031132086432</v>
      </c>
      <c r="K128" s="229">
        <f>IF('Small Signal'!$B$37&gt;=1,Z128+0,W128+0)</f>
        <v>6.317983093913564</v>
      </c>
      <c r="L128" s="229">
        <f>IF('Small Signal'!$B$37&gt;=1,AA128,X128)</f>
        <v>85.24504537670154</v>
      </c>
      <c r="M128" s="229" t="str">
        <f>IMDIV(IMSUM('Small Signal'!$B$2*'Small Signal'!$B$16*'Small Signal'!$B$38,IMPRODUCT(H128,'Small Signal'!$B$2*'Small Signal'!$B$16*'Small Signal'!$B$38*'Small Signal'!$B$13*'Small Signal'!$B$14)),IMSUM(IMPRODUCT('Small Signal'!$B$11*'Small Signal'!$B$13*('Small Signal'!$B$14+'Small Signal'!$B$16),IMPOWER(H128,2)),IMSUM(IMPRODUCT(H128,('Small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0.772860265536483-3.8643868315036i</v>
      </c>
      <c r="N128" s="229">
        <f t="shared" si="15"/>
        <v>11.911937871623506</v>
      </c>
      <c r="O128" s="229">
        <f t="shared" si="16"/>
        <v>-78.69031132086432</v>
      </c>
      <c r="P128" s="229" t="str">
        <f>IMDIV(IMSUM('Small Signal'!$B$48,IMPRODUCT(H128,'Small Signal'!$B$49)),IMSUM(IMPRODUCT('Small Signal'!$B$52,IMPOWER(H128,2)),IMSUM(IMPRODUCT(H128,'Small Signal'!$B$51),'Small Signal'!$B$50)))</f>
        <v>-3.85914703404008-9.01218599593486i</v>
      </c>
      <c r="Q128" s="229">
        <f t="shared" si="17"/>
        <v>19.82779929290475</v>
      </c>
      <c r="R128" s="229">
        <f t="shared" si="18"/>
        <v>-113.18130207535728</v>
      </c>
      <c r="S128" s="229" t="str">
        <f>IMPRODUCT(IMDIV(IMSUM(IMPRODUCT(H128,'Small Signal'!$B$33*'Small Signal'!$B$6*'Small Signal'!$B$27*'Small Signal'!$B$7*'Small Signal'!$B$8),'Small Signal'!$B$33*'Small Signal'!$B$6*'Small Signal'!$B$27),IMSUM(IMSUM(IMPRODUCT(H128,('Small Signal'!$B$5+'Small Signal'!$B$6)*('Small Signal'!$B$32*'Small Signal'!$B$33)+'Small Signal'!$B$5*'Small Signal'!$B$33*('Small Signal'!$B$8+'Small Signal'!$B$9)+'Small Signal'!$B$6*'Small Signal'!$B$33*('Small Signal'!$B$8+'Small Signal'!$B$9)+'Small Signal'!$B$7*'Small Signal'!$B$8*('Small Signal'!$B$5+'Small Signal'!$B$6)),'Small Signal'!$B$6+'Small Signal'!$B$5),IMPRODUCT(IMPOWER(H128,2),'Small Signal'!$B$32*'Small Signal'!$B$33*'Small Signal'!$B$8*'Small Signal'!$B$7*('Small Signal'!$B$5+'Small Signal'!$B$6)+('Small Signal'!$B$5+'Small Signal'!$B$6)*('Small Signal'!$B$9*'Small Signal'!$B$8*'Small Signal'!$B$33*'Small Signal'!$B$7)))),-1)</f>
        <v>-0.50466489661447+0.145326728762065i</v>
      </c>
      <c r="T128" s="229">
        <f t="shared" si="19"/>
        <v>-5.593954777709932</v>
      </c>
      <c r="U128" s="229">
        <f t="shared" si="20"/>
        <v>163.93535669756585</v>
      </c>
      <c r="V128" s="229" t="str">
        <f t="shared" si="21"/>
        <v>0.171563250889218+2.06253763497968i</v>
      </c>
      <c r="W128" s="226">
        <f t="shared" si="22"/>
        <v>6.317983093913564</v>
      </c>
      <c r="X128" s="229">
        <f t="shared" si="23"/>
        <v>85.24504537670154</v>
      </c>
      <c r="Y128" s="229" t="str">
        <f t="shared" si="24"/>
        <v>3.25728754873838+3.98729669963997i</v>
      </c>
      <c r="Z128" s="226">
        <f t="shared" si="25"/>
        <v>14.233844515194816</v>
      </c>
      <c r="AA128" s="229">
        <f t="shared" si="26"/>
        <v>50.75405462220859</v>
      </c>
    </row>
    <row r="129" spans="6:27" ht="12.75">
      <c r="F129" s="78">
        <v>127</v>
      </c>
      <c r="G129" s="229">
        <f>10^('Small Signal'!F129/30)</f>
        <v>17113.283041617826</v>
      </c>
      <c r="H129" s="229" t="str">
        <f t="shared" si="14"/>
        <v>107525.928564699i</v>
      </c>
      <c r="I129" s="229">
        <f>IF('Small Signal'!$B$37&gt;=1,Q129+0,N129+0)</f>
        <v>11.286009878877795</v>
      </c>
      <c r="J129" s="229">
        <f>IF('Small Signal'!$B$37&gt;=1,R129,O129)</f>
        <v>-80.19108649083645</v>
      </c>
      <c r="K129" s="229">
        <f>IF('Small Signal'!$B$37&gt;=1,Z129+0,W129+0)</f>
        <v>5.658804766920301</v>
      </c>
      <c r="L129" s="229">
        <f>IF('Small Signal'!$B$37&gt;=1,AA129,X129)</f>
        <v>84.4141405818793</v>
      </c>
      <c r="M129" s="229" t="str">
        <f>IMDIV(IMSUM('Small Signal'!$B$2*'Small Signal'!$B$16*'Small Signal'!$B$38,IMPRODUCT(H129,'Small Signal'!$B$2*'Small Signal'!$B$16*'Small Signal'!$B$38*'Small Signal'!$B$13*'Small Signal'!$B$14)),IMSUM(IMPRODUCT('Small Signal'!$B$11*'Small Signal'!$B$13*('Small Signal'!$B$14+'Small Signal'!$B$16),IMPOWER(H129,2)),IMSUM(IMPRODUCT(H129,('Small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0.62470539397705-3.61330695792084i</v>
      </c>
      <c r="N129" s="229">
        <f t="shared" si="15"/>
        <v>11.286009878877795</v>
      </c>
      <c r="O129" s="229">
        <f t="shared" si="16"/>
        <v>-80.19108649083645</v>
      </c>
      <c r="P129" s="229" t="str">
        <f>IMDIV(IMSUM('Small Signal'!$B$48,IMPRODUCT(H129,'Small Signal'!$B$49)),IMSUM(IMPRODUCT('Small Signal'!$B$52,IMPOWER(H129,2)),IMSUM(IMPRODUCT(H129,'Small Signal'!$B$51),'Small Signal'!$B$50)))</f>
        <v>-3.94647456101968-7.88551538429535i</v>
      </c>
      <c r="Q129" s="229">
        <f t="shared" si="17"/>
        <v>18.907339911681486</v>
      </c>
      <c r="R129" s="229">
        <f t="shared" si="18"/>
        <v>-116.58665237720139</v>
      </c>
      <c r="S129" s="229" t="str">
        <f>IMPRODUCT(IMDIV(IMSUM(IMPRODUCT(H129,'Small Signal'!$B$33*'Small Signal'!$B$6*'Small Signal'!$B$27*'Small Signal'!$B$7*'Small Signal'!$B$8),'Small Signal'!$B$33*'Small Signal'!$B$6*'Small Signal'!$B$27),IMSUM(IMSUM(IMPRODUCT(H129,('Small Signal'!$B$5+'Small Signal'!$B$6)*('Small Signal'!$B$32*'Small Signal'!$B$33)+'Small Signal'!$B$5*'Small Signal'!$B$33*('Small Signal'!$B$8+'Small Signal'!$B$9)+'Small Signal'!$B$6*'Small Signal'!$B$33*('Small Signal'!$B$8+'Small Signal'!$B$9)+'Small Signal'!$B$7*'Small Signal'!$B$8*('Small Signal'!$B$5+'Small Signal'!$B$6)),'Small Signal'!$B$6+'Small Signal'!$B$5),IMPRODUCT(IMPOWER(H129,2),'Small Signal'!$B$32*'Small Signal'!$B$33*'Small Signal'!$B$8*'Small Signal'!$B$7*('Small Signal'!$B$5+'Small Signal'!$B$6)+('Small Signal'!$B$5+'Small Signal'!$B$6)*('Small Signal'!$B$9*'Small Signal'!$B$8*'Small Signal'!$B$33*'Small Signal'!$B$7)))),-1)</f>
        <v>-0.504394878711279+0.13888399095889i</v>
      </c>
      <c r="T129" s="229">
        <f t="shared" si="19"/>
        <v>-5.627205111957492</v>
      </c>
      <c r="U129" s="229">
        <f t="shared" si="20"/>
        <v>164.60522707271573</v>
      </c>
      <c r="V129" s="229" t="str">
        <f t="shared" si="21"/>
        <v>0.186732289450236+1.90929510307618i</v>
      </c>
      <c r="W129" s="226">
        <f t="shared" si="22"/>
        <v>5.658804766920301</v>
      </c>
      <c r="X129" s="229">
        <f t="shared" si="23"/>
        <v>84.4141405818793</v>
      </c>
      <c r="Y129" s="229" t="str">
        <f t="shared" si="24"/>
        <v>3.08575340488133+3.42931143858543i</v>
      </c>
      <c r="Z129" s="226">
        <f t="shared" si="25"/>
        <v>13.28013479972399</v>
      </c>
      <c r="AA129" s="229">
        <f t="shared" si="26"/>
        <v>48.01857469551439</v>
      </c>
    </row>
    <row r="130" spans="6:27" ht="12.75">
      <c r="F130" s="78">
        <v>128</v>
      </c>
      <c r="G130" s="229">
        <f>10^('Small Signal'!F130/30)</f>
        <v>18478.497974222933</v>
      </c>
      <c r="H130" s="229" t="str">
        <f aca="true" t="shared" si="27" ref="H130:H193">COMPLEX(0,G130*2*PI())</f>
        <v>116103.826970385i</v>
      </c>
      <c r="I130" s="229">
        <f>IF('Small Signal'!$B$37&gt;=1,Q130+0,N130+0)</f>
        <v>10.652693776143545</v>
      </c>
      <c r="J130" s="229">
        <f>IF('Small Signal'!$B$37&gt;=1,R130,O130)</f>
        <v>-81.64804646563381</v>
      </c>
      <c r="K130" s="229">
        <f>IF('Small Signal'!$B$37&gt;=1,Z130+0,W130+0)</f>
        <v>4.9961097096078735</v>
      </c>
      <c r="L130" s="229">
        <f>IF('Small Signal'!$B$37&gt;=1,AA130,X130)</f>
        <v>83.54452652280668</v>
      </c>
      <c r="M130" s="229" t="str">
        <f>IMDIV(IMSUM('Small Signal'!$B$2*'Small Signal'!$B$16*'Small Signal'!$B$38,IMPRODUCT(H130,'Small Signal'!$B$2*'Small Signal'!$B$16*'Small Signal'!$B$38*'Small Signal'!$B$13*'Small Signal'!$B$14)),IMSUM(IMPRODUCT('Small Signal'!$B$11*'Small Signal'!$B$13*('Small Signal'!$B$14+'Small Signal'!$B$16),IMPOWER(H130,2)),IMSUM(IMPRODUCT(H130,('Small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0.495177620016772-3.37290550646673i</v>
      </c>
      <c r="N130" s="229">
        <f aca="true" t="shared" si="28" ref="N130:N193">20*LOG(IMABS(M130))</f>
        <v>10.652693776143545</v>
      </c>
      <c r="O130" s="229">
        <f aca="true" t="shared" si="29" ref="O130:O193">(180/PI())*IMARGUMENT(M130)</f>
        <v>-81.64804646563381</v>
      </c>
      <c r="P130" s="229" t="str">
        <f>IMDIV(IMSUM('Small Signal'!$B$48,IMPRODUCT(H130,'Small Signal'!$B$49)),IMSUM(IMPRODUCT('Small Signal'!$B$52,IMPOWER(H130,2)),IMSUM(IMPRODUCT(H130,'Small Signal'!$B$51),'Small Signal'!$B$50)))</f>
        <v>-3.93964272782923-6.84831180552039i</v>
      </c>
      <c r="Q130" s="229">
        <f aca="true" t="shared" si="30" ref="Q130:Q193">20*LOG(IMABS(P130))</f>
        <v>17.953248734317317</v>
      </c>
      <c r="R130" s="229">
        <f aca="true" t="shared" si="31" ref="R130:R193">(180/PI())*IMARGUMENT(P130)</f>
        <v>-119.91061698427035</v>
      </c>
      <c r="S130" s="229" t="str">
        <f>IMPRODUCT(IMDIV(IMSUM(IMPRODUCT(H130,'Small Signal'!$B$33*'Small Signal'!$B$6*'Small Signal'!$B$27*'Small Signal'!$B$7*'Small Signal'!$B$8),'Small Signal'!$B$33*'Small Signal'!$B$6*'Small Signal'!$B$27),IMSUM(IMSUM(IMPRODUCT(H130,('Small Signal'!$B$5+'Small Signal'!$B$6)*('Small Signal'!$B$32*'Small Signal'!$B$33)+'Small Signal'!$B$5*'Small Signal'!$B$33*('Small Signal'!$B$8+'Small Signal'!$B$9)+'Small Signal'!$B$6*'Small Signal'!$B$33*('Small Signal'!$B$8+'Small Signal'!$B$9)+'Small Signal'!$B$7*'Small Signal'!$B$8*('Small Signal'!$B$5+'Small Signal'!$B$6)),'Small Signal'!$B$6+'Small Signal'!$B$5),IMPRODUCT(IMPOWER(H130,2),'Small Signal'!$B$32*'Small Signal'!$B$33*'Small Signal'!$B$8*'Small Signal'!$B$7*('Small Signal'!$B$5+'Small Signal'!$B$6)+('Small Signal'!$B$5+'Small Signal'!$B$6)*('Small Signal'!$B$9*'Small Signal'!$B$8*'Small Signal'!$B$33*'Small Signal'!$B$7)))),-1)</f>
        <v>-0.504084178652676+0.133254691039498i</v>
      </c>
      <c r="T130" s="229">
        <f aca="true" t="shared" si="32" ref="T130:T193">20*LOG(IMABS(S130))</f>
        <v>-5.656584066535678</v>
      </c>
      <c r="U130" s="229">
        <f aca="true" t="shared" si="33" ref="U130:U193">(180/PI())*IMARGUMENT(S130)</f>
        <v>165.19257298844047</v>
      </c>
      <c r="V130" s="229" t="str">
        <f aca="true" t="shared" si="34" ref="V130:V193">IMPRODUCT(M130,S130)</f>
        <v>0.199844277296304+1.76621304266538i</v>
      </c>
      <c r="W130" s="226">
        <f aca="true" t="shared" si="35" ref="W130:W193">20*LOG(IMABS(V130))</f>
        <v>4.9961097096078735</v>
      </c>
      <c r="X130" s="229">
        <f aca="true" t="shared" si="36" ref="X130:X193">(180/PI())*IMARGUMENT(V130)</f>
        <v>83.54452652280668</v>
      </c>
      <c r="Y130" s="229" t="str">
        <f aca="true" t="shared" si="37" ref="Y130:Y193">IMPRODUCT(P130,S130)</f>
        <v>2.89848124242955+2.92714975714028i</v>
      </c>
      <c r="Z130" s="226">
        <f aca="true" t="shared" si="38" ref="Z130:Z193">20*LOG(IMABS(Y130))</f>
        <v>12.296664667781634</v>
      </c>
      <c r="AA130" s="229">
        <f aca="true" t="shared" si="39" ref="AA130:AA193">(180/PI())*IMARGUMENT(Y130)</f>
        <v>45.281956004170105</v>
      </c>
    </row>
    <row r="131" spans="6:27" ht="12.75">
      <c r="F131" s="78">
        <v>129</v>
      </c>
      <c r="G131" s="229">
        <f>10^('Small Signal'!F131/30)</f>
        <v>19952.623149688792</v>
      </c>
      <c r="H131" s="229" t="str">
        <f t="shared" si="27"/>
        <v>125366.028613816i</v>
      </c>
      <c r="I131" s="229">
        <f>IF('Small Signal'!$B$37&gt;=1,Q131+0,N131+0)</f>
        <v>10.012611048851701</v>
      </c>
      <c r="J131" s="229">
        <f>IF('Small Signal'!$B$37&gt;=1,R131,O131)</f>
        <v>-83.06663798154227</v>
      </c>
      <c r="K131" s="229">
        <f>IF('Small Signal'!$B$37&gt;=1,Z131+0,W131+0)</f>
        <v>4.329901342657077</v>
      </c>
      <c r="L131" s="229">
        <f>IF('Small Signal'!$B$37&gt;=1,AA131,X131)</f>
        <v>82.63269096750959</v>
      </c>
      <c r="M131" s="229" t="str">
        <f>IMDIV(IMSUM('Small Signal'!$B$2*'Small Signal'!$B$16*'Small Signal'!$B$38,IMPRODUCT(H131,'Small Signal'!$B$2*'Small Signal'!$B$16*'Small Signal'!$B$38*'Small Signal'!$B$13*'Small Signal'!$B$14)),IMSUM(IMPRODUCT('Small Signal'!$B$11*'Small Signal'!$B$13*('Small Signal'!$B$14+'Small Signal'!$B$16),IMPOWER(H131,2)),IMSUM(IMPRODUCT(H131,('Small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0.382288605137395-3.14371366963076i</v>
      </c>
      <c r="N131" s="229">
        <f t="shared" si="28"/>
        <v>10.012611048851701</v>
      </c>
      <c r="O131" s="229">
        <f t="shared" si="29"/>
        <v>-83.06663798154227</v>
      </c>
      <c r="P131" s="229" t="str">
        <f>IMDIV(IMSUM('Small Signal'!$B$48,IMPRODUCT(H131,'Small Signal'!$B$49)),IMSUM(IMPRODUCT('Small Signal'!$B$52,IMPOWER(H131,2)),IMSUM(IMPRODUCT(H131,'Small Signal'!$B$51),'Small Signal'!$B$50)))</f>
        <v>-3.85567520242918-5.90496041211351i</v>
      </c>
      <c r="Q131" s="229">
        <f t="shared" si="30"/>
        <v>16.966602774741297</v>
      </c>
      <c r="R131" s="229">
        <f t="shared" si="31"/>
        <v>-123.14274114001468</v>
      </c>
      <c r="S131" s="229" t="str">
        <f>IMPRODUCT(IMDIV(IMSUM(IMPRODUCT(H131,'Small Signal'!$B$33*'Small Signal'!$B$6*'Small Signal'!$B$27*'Small Signal'!$B$7*'Small Signal'!$B$8),'Small Signal'!$B$33*'Small Signal'!$B$6*'Small Signal'!$B$27),IMSUM(IMSUM(IMPRODUCT(H131,('Small Signal'!$B$5+'Small Signal'!$B$6)*('Small Signal'!$B$32*'Small Signal'!$B$33)+'Small Signal'!$B$5*'Small Signal'!$B$33*('Small Signal'!$B$8+'Small Signal'!$B$9)+'Small Signal'!$B$6*'Small Signal'!$B$33*('Small Signal'!$B$8+'Small Signal'!$B$9)+'Small Signal'!$B$7*'Small Signal'!$B$8*('Small Signal'!$B$5+'Small Signal'!$B$6)),'Small Signal'!$B$6+'Small Signal'!$B$5),IMPRODUCT(IMPOWER(H131,2),'Small Signal'!$B$32*'Small Signal'!$B$33*'Small Signal'!$B$8*'Small Signal'!$B$7*('Small Signal'!$B$5+'Small Signal'!$B$6)+('Small Signal'!$B$5+'Small Signal'!$B$6)*('Small Signal'!$B$9*'Small Signal'!$B$8*'Small Signal'!$B$33*'Small Signal'!$B$7)))),-1)</f>
        <v>-0.503725626584715+0.128404335177925i</v>
      </c>
      <c r="T131" s="229">
        <f t="shared" si="32"/>
        <v>-5.682709706194615</v>
      </c>
      <c r="U131" s="229">
        <f t="shared" si="33"/>
        <v>165.69932894905187</v>
      </c>
      <c r="V131" s="229" t="str">
        <f t="shared" si="34"/>
        <v>0.211097896579662+1.63265665222645i</v>
      </c>
      <c r="W131" s="226">
        <f t="shared" si="35"/>
        <v>4.329901342657077</v>
      </c>
      <c r="X131" s="229">
        <f t="shared" si="36"/>
        <v>82.63269096750959</v>
      </c>
      <c r="Y131" s="229" t="str">
        <f t="shared" si="37"/>
        <v>2.70042492322019+2.47939447251988i</v>
      </c>
      <c r="Z131" s="226">
        <f t="shared" si="38"/>
        <v>11.28389306854668</v>
      </c>
      <c r="AA131" s="229">
        <f t="shared" si="39"/>
        <v>42.556587809037104</v>
      </c>
    </row>
    <row r="132" spans="6:27" ht="12.75">
      <c r="F132" s="78">
        <v>130</v>
      </c>
      <c r="G132" s="229">
        <f>10^('Small Signal'!F132/30)</f>
        <v>21544.346900318837</v>
      </c>
      <c r="H132" s="229" t="str">
        <f t="shared" si="27"/>
        <v>135367.123896863i</v>
      </c>
      <c r="I132" s="229">
        <f>IF('Small Signal'!$B$37&gt;=1,Q132+0,N132+0)</f>
        <v>9.366268247262134</v>
      </c>
      <c r="J132" s="229">
        <f>IF('Small Signal'!$B$37&gt;=1,R132,O132)</f>
        <v>-84.45254784791193</v>
      </c>
      <c r="K132" s="229">
        <f>IF('Small Signal'!$B$37&gt;=1,Z132+0,W132+0)</f>
        <v>3.660126284106835</v>
      </c>
      <c r="L132" s="229">
        <f>IF('Small Signal'!$B$37&gt;=1,AA132,X132)</f>
        <v>81.67472190554622</v>
      </c>
      <c r="M132" s="229" t="str">
        <f>IMDIV(IMSUM('Small Signal'!$B$2*'Small Signal'!$B$16*'Small Signal'!$B$38,IMPRODUCT(H132,'Small Signal'!$B$2*'Small Signal'!$B$16*'Small Signal'!$B$38*'Small Signal'!$B$13*'Small Signal'!$B$14)),IMSUM(IMPRODUCT('Small Signal'!$B$11*'Small Signal'!$B$13*('Small Signal'!$B$14+'Small Signal'!$B$16),IMPOWER(H132,2)),IMSUM(IMPRODUCT(H132,('Small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0.28418790709177-2.92600191772179i</v>
      </c>
      <c r="N132" s="229">
        <f t="shared" si="28"/>
        <v>9.366268247262134</v>
      </c>
      <c r="O132" s="229">
        <f t="shared" si="29"/>
        <v>-84.45254784791193</v>
      </c>
      <c r="P132" s="229" t="str">
        <f>IMDIV(IMSUM('Small Signal'!$B$48,IMPRODUCT(H132,'Small Signal'!$B$49)),IMSUM(IMPRODUCT('Small Signal'!$B$52,IMPOWER(H132,2)),IMSUM(IMPRODUCT(H132,'Small Signal'!$B$51),'Small Signal'!$B$50)))</f>
        <v>-3.71097433110022-5.05684567393129i</v>
      </c>
      <c r="Q132" s="229">
        <f t="shared" si="30"/>
        <v>15.948676788005757</v>
      </c>
      <c r="R132" s="229">
        <f t="shared" si="31"/>
        <v>-126.27314327962732</v>
      </c>
      <c r="S132" s="229" t="str">
        <f>IMPRODUCT(IMDIV(IMSUM(IMPRODUCT(H132,'Small Signal'!$B$33*'Small Signal'!$B$6*'Small Signal'!$B$27*'Small Signal'!$B$7*'Small Signal'!$B$8),'Small Signal'!$B$33*'Small Signal'!$B$6*'Small Signal'!$B$27),IMSUM(IMSUM(IMPRODUCT(H132,('Small Signal'!$B$5+'Small Signal'!$B$6)*('Small Signal'!$B$32*'Small Signal'!$B$33)+'Small Signal'!$B$5*'Small Signal'!$B$33*('Small Signal'!$B$8+'Small Signal'!$B$9)+'Small Signal'!$B$6*'Small Signal'!$B$33*('Small Signal'!$B$8+'Small Signal'!$B$9)+'Small Signal'!$B$7*'Small Signal'!$B$8*('Small Signal'!$B$5+'Small Signal'!$B$6)),'Small Signal'!$B$6+'Small Signal'!$B$5),IMPRODUCT(IMPOWER(H132,2),'Small Signal'!$B$32*'Small Signal'!$B$33*'Small Signal'!$B$8*'Small Signal'!$B$7*('Small Signal'!$B$5+'Small Signal'!$B$6)+('Small Signal'!$B$5+'Small Signal'!$B$6)*('Small Signal'!$B$9*'Small Signal'!$B$8*'Small Signal'!$B$33*'Small Signal'!$B$7)))),-1)</f>
        <v>-0.503310981871005+0.124302685138983i</v>
      </c>
      <c r="T132" s="229">
        <f t="shared" si="32"/>
        <v>-5.706141963155284</v>
      </c>
      <c r="U132" s="229">
        <f t="shared" si="33"/>
        <v>166.12726975345814</v>
      </c>
      <c r="V132" s="229" t="str">
        <f t="shared" si="34"/>
        <v>0.220675000540407+1.50801421810053i</v>
      </c>
      <c r="W132" s="226">
        <f t="shared" si="35"/>
        <v>3.660126284106835</v>
      </c>
      <c r="X132" s="229">
        <f t="shared" si="36"/>
        <v>81.67472190554622</v>
      </c>
      <c r="Y132" s="229" t="str">
        <f t="shared" si="37"/>
        <v>2.49635362988726+2.0838818874789i</v>
      </c>
      <c r="Z132" s="226">
        <f t="shared" si="38"/>
        <v>10.242534824850475</v>
      </c>
      <c r="AA132" s="229">
        <f t="shared" si="39"/>
        <v>39.85412647383077</v>
      </c>
    </row>
    <row r="133" spans="6:27" ht="12.75">
      <c r="F133" s="78">
        <v>131</v>
      </c>
      <c r="G133" s="229">
        <f>10^('Small Signal'!F133/30)</f>
        <v>23263.050671536268</v>
      </c>
      <c r="H133" s="229" t="str">
        <f t="shared" si="27"/>
        <v>146166.058179571i</v>
      </c>
      <c r="I133" s="229">
        <f>IF('Small Signal'!$B$37&gt;=1,Q133+0,N133+0)</f>
        <v>8.714059547189105</v>
      </c>
      <c r="J133" s="229">
        <f>IF('Small Signal'!$B$37&gt;=1,R133,O133)</f>
        <v>-85.8116295333922</v>
      </c>
      <c r="K133" s="229">
        <f>IF('Small Signal'!$B$37&gt;=1,Z133+0,W133+0)</f>
        <v>2.9866684811429147</v>
      </c>
      <c r="L133" s="229">
        <f>IF('Small Signal'!$B$37&gt;=1,AA133,X133)</f>
        <v>80.66633915339091</v>
      </c>
      <c r="M133" s="229" t="str">
        <f>IMDIV(IMSUM('Small Signal'!$B$2*'Small Signal'!$B$16*'Small Signal'!$B$38,IMPRODUCT(H133,'Small Signal'!$B$2*'Small Signal'!$B$16*'Small Signal'!$B$38*'Small Signal'!$B$13*'Small Signal'!$B$14)),IMSUM(IMPRODUCT('Small Signal'!$B$11*'Small Signal'!$B$13*('Small Signal'!$B$14+'Small Signal'!$B$16),IMPOWER(H133,2)),IMSUM(IMPRODUCT(H133,('Small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0.199176718149333-2.71982878088645i</v>
      </c>
      <c r="N133" s="229">
        <f t="shared" si="28"/>
        <v>8.714059547189105</v>
      </c>
      <c r="O133" s="229">
        <f t="shared" si="29"/>
        <v>-85.8116295333922</v>
      </c>
      <c r="P133" s="229" t="str">
        <f>IMDIV(IMSUM('Small Signal'!$B$48,IMPRODUCT(H133,'Small Signal'!$B$49)),IMSUM(IMPRODUCT('Small Signal'!$B$52,IMPOWER(H133,2)),IMSUM(IMPRODUCT(H133,'Small Signal'!$B$51),'Small Signal'!$B$50)))</f>
        <v>-3.52082493285152-4.30271589717087i</v>
      </c>
      <c r="Q133" s="229">
        <f t="shared" si="30"/>
        <v>14.900929957062065</v>
      </c>
      <c r="R133" s="229">
        <f t="shared" si="31"/>
        <v>-129.29276495574828</v>
      </c>
      <c r="S133" s="229" t="str">
        <f>IMPRODUCT(IMDIV(IMSUM(IMPRODUCT(H133,'Small Signal'!$B$33*'Small Signal'!$B$6*'Small Signal'!$B$27*'Small Signal'!$B$7*'Small Signal'!$B$8),'Small Signal'!$B$33*'Small Signal'!$B$6*'Small Signal'!$B$27),IMSUM(IMSUM(IMPRODUCT(H133,('Small Signal'!$B$5+'Small Signal'!$B$6)*('Small Signal'!$B$32*'Small Signal'!$B$33)+'Small Signal'!$B$5*'Small Signal'!$B$33*('Small Signal'!$B$8+'Small Signal'!$B$9)+'Small Signal'!$B$6*'Small Signal'!$B$33*('Small Signal'!$B$8+'Small Signal'!$B$9)+'Small Signal'!$B$7*'Small Signal'!$B$8*('Small Signal'!$B$5+'Small Signal'!$B$6)),'Small Signal'!$B$6+'Small Signal'!$B$5),IMPRODUCT(IMPOWER(H133,2),'Small Signal'!$B$32*'Small Signal'!$B$33*'Small Signal'!$B$8*'Small Signal'!$B$7*('Small Signal'!$B$5+'Small Signal'!$B$6)+('Small Signal'!$B$5+'Small Signal'!$B$6)*('Small Signal'!$B$9*'Small Signal'!$B$8*'Small Signal'!$B$33*'Small Signal'!$B$7)))),-1)</f>
        <v>-0.502830759397185+0.120923495743556i</v>
      </c>
      <c r="T133" s="229">
        <f t="shared" si="32"/>
        <v>-5.7273910660461915</v>
      </c>
      <c r="U133" s="229">
        <f t="shared" si="33"/>
        <v>166.47796868678313</v>
      </c>
      <c r="V133" s="229" t="str">
        <f t="shared" si="34"/>
        <v>0.228739023567456+1.3916987163528i</v>
      </c>
      <c r="W133" s="226">
        <f t="shared" si="35"/>
        <v>2.9866684811429147</v>
      </c>
      <c r="X133" s="229">
        <f t="shared" si="36"/>
        <v>80.66633915339091</v>
      </c>
      <c r="Y133" s="229" t="str">
        <f t="shared" si="37"/>
        <v>2.29067852216755+1.73778744326329i</v>
      </c>
      <c r="Z133" s="226">
        <f t="shared" si="38"/>
        <v>9.17353889101588</v>
      </c>
      <c r="AA133" s="229">
        <f t="shared" si="39"/>
        <v>37.185203731034775</v>
      </c>
    </row>
    <row r="134" spans="6:27" ht="12.75">
      <c r="F134" s="78">
        <v>132</v>
      </c>
      <c r="G134" s="229">
        <f>10^('Small Signal'!F134/30)</f>
        <v>25118.86431509586</v>
      </c>
      <c r="H134" s="229" t="str">
        <f t="shared" si="27"/>
        <v>157826.479197648i</v>
      </c>
      <c r="I134" s="229">
        <f>IF('Small Signal'!$B$37&gt;=1,Q134+0,N134+0)</f>
        <v>8.056269258211051</v>
      </c>
      <c r="J134" s="229">
        <f>IF('Small Signal'!$B$37&gt;=1,R134,O134)</f>
        <v>-87.14984045637851</v>
      </c>
      <c r="K134" s="229">
        <f>IF('Small Signal'!$B$37&gt;=1,Z134+0,W134+0)</f>
        <v>2.3093433599816935</v>
      </c>
      <c r="L134" s="229">
        <f>IF('Small Signal'!$B$37&gt;=1,AA134,X134)</f>
        <v>79.6029243150765</v>
      </c>
      <c r="M134" s="229" t="str">
        <f>IMDIV(IMSUM('Small Signal'!$B$2*'Small Signal'!$B$16*'Small Signal'!$B$38,IMPRODUCT(H134,'Small Signal'!$B$2*'Small Signal'!$B$16*'Small Signal'!$B$38*'Small Signal'!$B$13*'Small Signal'!$B$14)),IMSUM(IMPRODUCT('Small Signal'!$B$11*'Small Signal'!$B$13*('Small Signal'!$B$14+'Small Signal'!$B$16),IMPOWER(H134,2)),IMSUM(IMPRODUCT(H134,('Small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0.125713197961614-2.52508442631608i</v>
      </c>
      <c r="N134" s="229">
        <f t="shared" si="28"/>
        <v>8.056269258211051</v>
      </c>
      <c r="O134" s="229">
        <f t="shared" si="29"/>
        <v>-87.14984045637851</v>
      </c>
      <c r="P134" s="229" t="str">
        <f>IMDIV(IMSUM('Small Signal'!$B$48,IMPRODUCT(H134,'Small Signal'!$B$49)),IMSUM(IMPRODUCT('Small Signal'!$B$52,IMPOWER(H134,2)),IMSUM(IMPRODUCT(H134,'Small Signal'!$B$51),'Small Signal'!$B$50)))</f>
        <v>-3.29901430371472-3.63912370415455i</v>
      </c>
      <c r="Q134" s="229">
        <f t="shared" si="30"/>
        <v>13.824982248661914</v>
      </c>
      <c r="R134" s="229">
        <f t="shared" si="31"/>
        <v>-132.19359188391445</v>
      </c>
      <c r="S134" s="229" t="str">
        <f>IMPRODUCT(IMDIV(IMSUM(IMPRODUCT(H134,'Small Signal'!$B$33*'Small Signal'!$B$6*'Small Signal'!$B$27*'Small Signal'!$B$7*'Small Signal'!$B$8),'Small Signal'!$B$33*'Small Signal'!$B$6*'Small Signal'!$B$27),IMSUM(IMSUM(IMPRODUCT(H134,('Small Signal'!$B$5+'Small Signal'!$B$6)*('Small Signal'!$B$32*'Small Signal'!$B$33)+'Small Signal'!$B$5*'Small Signal'!$B$33*('Small Signal'!$B$8+'Small Signal'!$B$9)+'Small Signal'!$B$6*'Small Signal'!$B$33*('Small Signal'!$B$8+'Small Signal'!$B$9)+'Small Signal'!$B$7*'Small Signal'!$B$8*('Small Signal'!$B$5+'Small Signal'!$B$6)),'Small Signal'!$B$6+'Small Signal'!$B$5),IMPRODUCT(IMPOWER(H134,2),'Small Signal'!$B$32*'Small Signal'!$B$33*'Small Signal'!$B$8*'Small Signal'!$B$7*('Small Signal'!$B$5+'Small Signal'!$B$6)+('Small Signal'!$B$5+'Small Signal'!$B$6)*('Small Signal'!$B$9*'Small Signal'!$B$8*'Small Signal'!$B$33*'Small Signal'!$B$7)))),-1)</f>
        <v>-0.502274033795786+0.118244255169745i</v>
      </c>
      <c r="T134" s="229">
        <f t="shared" si="32"/>
        <v>-5.746925898229337</v>
      </c>
      <c r="U134" s="229">
        <f t="shared" si="33"/>
        <v>166.75276477145505</v>
      </c>
      <c r="V134" s="229" t="str">
        <f t="shared" si="34"/>
        <v>0.23543425218892+1.28314920393867i</v>
      </c>
      <c r="W134" s="226">
        <f t="shared" si="35"/>
        <v>2.3093433599816935</v>
      </c>
      <c r="X134" s="229">
        <f t="shared" si="36"/>
        <v>79.6029243150765</v>
      </c>
      <c r="Y134" s="229" t="str">
        <f t="shared" si="37"/>
        <v>2.08731469374511+1.43774785323049i</v>
      </c>
      <c r="Z134" s="226">
        <f t="shared" si="38"/>
        <v>8.078056350432597</v>
      </c>
      <c r="AA134" s="229">
        <f t="shared" si="39"/>
        <v>34.55917288754064</v>
      </c>
    </row>
    <row r="135" spans="6:27" ht="12.75">
      <c r="F135" s="78">
        <v>133</v>
      </c>
      <c r="G135" s="229">
        <f>10^('Small Signal'!F135/30)</f>
        <v>27122.725793320307</v>
      </c>
      <c r="H135" s="229" t="str">
        <f t="shared" si="27"/>
        <v>170417.112195251i</v>
      </c>
      <c r="I135" s="229">
        <f>IF('Small Signal'!$B$37&gt;=1,Q135+0,N135+0)</f>
        <v>7.39307393370381</v>
      </c>
      <c r="J135" s="229">
        <f>IF('Small Signal'!$B$37&gt;=1,R135,O135)</f>
        <v>-88.4731875056548</v>
      </c>
      <c r="K135" s="229">
        <f>IF('Small Signal'!$B$37&gt;=1,Z135+0,W135+0)</f>
        <v>1.6278917245495048</v>
      </c>
      <c r="L135" s="229">
        <f>IF('Small Signal'!$B$37&gt;=1,AA135,X135)</f>
        <v>78.47955022362402</v>
      </c>
      <c r="M135" s="229" t="str">
        <f>IMDIV(IMSUM('Small Signal'!$B$2*'Small Signal'!$B$16*'Small Signal'!$B$38,IMPRODUCT(H135,'Small Signal'!$B$2*'Small Signal'!$B$16*'Small Signal'!$B$38*'Small Signal'!$B$13*'Small Signal'!$B$14)),IMSUM(IMPRODUCT('Small Signal'!$B$11*'Small Signal'!$B$13*('Small Signal'!$B$14+'Small Signal'!$B$16),IMPOWER(H135,2)),IMSUM(IMPRODUCT(H135,('Small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0.0624116075246429-2.34152867058759i</v>
      </c>
      <c r="N135" s="229">
        <f t="shared" si="28"/>
        <v>7.39307393370381</v>
      </c>
      <c r="O135" s="229">
        <f t="shared" si="29"/>
        <v>-88.4731875056548</v>
      </c>
      <c r="P135" s="229" t="str">
        <f>IMDIV(IMSUM('Small Signal'!$B$48,IMPRODUCT(H135,'Small Signal'!$B$49)),IMSUM(IMPRODUCT('Small Signal'!$B$52,IMPOWER(H135,2)),IMSUM(IMPRODUCT(H135,'Small Signal'!$B$51),'Small Signal'!$B$50)))</f>
        <v>-3.05757920842932-3.06090809448507i</v>
      </c>
      <c r="Q135" s="229">
        <f t="shared" si="30"/>
        <v>12.722582591439977</v>
      </c>
      <c r="R135" s="229">
        <f t="shared" si="31"/>
        <v>-134.9688270820528</v>
      </c>
      <c r="S135" s="229" t="str">
        <f>IMPRODUCT(IMDIV(IMSUM(IMPRODUCT(H135,'Small Signal'!$B$33*'Small Signal'!$B$6*'Small Signal'!$B$27*'Small Signal'!$B$7*'Small Signal'!$B$8),'Small Signal'!$B$33*'Small Signal'!$B$6*'Small Signal'!$B$27),IMSUM(IMSUM(IMPRODUCT(H135,('Small Signal'!$B$5+'Small Signal'!$B$6)*('Small Signal'!$B$32*'Small Signal'!$B$33)+'Small Signal'!$B$5*'Small Signal'!$B$33*('Small Signal'!$B$8+'Small Signal'!$B$9)+'Small Signal'!$B$6*'Small Signal'!$B$33*('Small Signal'!$B$8+'Small Signal'!$B$9)+'Small Signal'!$B$7*'Small Signal'!$B$8*('Small Signal'!$B$5+'Small Signal'!$B$6)),'Small Signal'!$B$6+'Small Signal'!$B$5),IMPRODUCT(IMPOWER(H135,2),'Small Signal'!$B$32*'Small Signal'!$B$33*'Small Signal'!$B$8*'Small Signal'!$B$7*('Small Signal'!$B$5+'Small Signal'!$B$6)+('Small Signal'!$B$5+'Small Signal'!$B$6)*('Small Signal'!$B$9*'Small Signal'!$B$8*'Small Signal'!$B$33*'Small Signal'!$B$7)))),-1)</f>
        <v>-0.501628219481115+0.116245921720559i</v>
      </c>
      <c r="T135" s="229">
        <f t="shared" si="32"/>
        <v>-5.765182209154313</v>
      </c>
      <c r="U135" s="229">
        <f t="shared" si="33"/>
        <v>166.95273772927882</v>
      </c>
      <c r="V135" s="229" t="str">
        <f t="shared" si="34"/>
        <v>0.240885734990029+1.1818319527336i</v>
      </c>
      <c r="W135" s="226">
        <f t="shared" si="35"/>
        <v>1.6278917245495048</v>
      </c>
      <c r="X135" s="229">
        <f t="shared" si="36"/>
        <v>78.47955022362402</v>
      </c>
      <c r="Y135" s="229" t="str">
        <f t="shared" si="37"/>
        <v>1.88958609699221+1.18000676411439i</v>
      </c>
      <c r="Z135" s="226">
        <f t="shared" si="38"/>
        <v>6.957400382285643</v>
      </c>
      <c r="AA135" s="229">
        <f t="shared" si="39"/>
        <v>31.983910647225986</v>
      </c>
    </row>
    <row r="136" spans="6:27" ht="12.75">
      <c r="F136" s="78">
        <v>134</v>
      </c>
      <c r="G136" s="229">
        <f>10^('Small Signal'!F136/30)</f>
        <v>29286.4456462524</v>
      </c>
      <c r="H136" s="229" t="str">
        <f t="shared" si="27"/>
        <v>184012.164984047i</v>
      </c>
      <c r="I136" s="229">
        <f>IF('Small Signal'!$B$37&gt;=1,Q136+0,N136+0)</f>
        <v>6.724543845130576</v>
      </c>
      <c r="J136" s="229">
        <f>IF('Small Signal'!$B$37&gt;=1,R136,O136)</f>
        <v>-89.78767811851925</v>
      </c>
      <c r="K136" s="229">
        <f>IF('Small Signal'!$B$37&gt;=1,Z136+0,W136+0)</f>
        <v>0.9419731935430589</v>
      </c>
      <c r="L136" s="229">
        <f>IF('Small Signal'!$B$37&gt;=1,AA136,X136)</f>
        <v>77.29101139273531</v>
      </c>
      <c r="M136" s="229" t="str">
        <f>IMDIV(IMSUM('Small Signal'!$B$2*'Small Signal'!$B$16*'Small Signal'!$B$38,IMPRODUCT(H136,'Small Signal'!$B$2*'Small Signal'!$B$16*'Small Signal'!$B$38*'Small Signal'!$B$13*'Small Signal'!$B$14)),IMSUM(IMPRODUCT('Small Signal'!$B$11*'Small Signal'!$B$13*('Small Signal'!$B$14+'Small Signal'!$B$16),IMPOWER(H136,2)),IMSUM(IMPRODUCT(H136,('Small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0.0080370805298006-2.16882349986889i</v>
      </c>
      <c r="N136" s="229">
        <f t="shared" si="28"/>
        <v>6.724543845130576</v>
      </c>
      <c r="O136" s="229">
        <f t="shared" si="29"/>
        <v>-89.78767811851925</v>
      </c>
      <c r="P136" s="229" t="str">
        <f>IMDIV(IMSUM('Small Signal'!$B$48,IMPRODUCT(H136,'Small Signal'!$B$49)),IMSUM(IMPRODUCT('Small Signal'!$B$52,IMPOWER(H136,2)),IMSUM(IMPRODUCT(H136,'Small Signal'!$B$51),'Small Signal'!$B$50)))</f>
        <v>-2.80667940182005-2.5616825728358i</v>
      </c>
      <c r="Q136" s="229">
        <f t="shared" si="30"/>
        <v>11.595571739254497</v>
      </c>
      <c r="R136" s="229">
        <f t="shared" si="31"/>
        <v>-137.61300395394974</v>
      </c>
      <c r="S136" s="229" t="str">
        <f>IMPRODUCT(IMDIV(IMSUM(IMPRODUCT(H136,'Small Signal'!$B$33*'Small Signal'!$B$6*'Small Signal'!$B$27*'Small Signal'!$B$7*'Small Signal'!$B$8),'Small Signal'!$B$33*'Small Signal'!$B$6*'Small Signal'!$B$27),IMSUM(IMSUM(IMPRODUCT(H136,('Small Signal'!$B$5+'Small Signal'!$B$6)*('Small Signal'!$B$32*'Small Signal'!$B$33)+'Small Signal'!$B$5*'Small Signal'!$B$33*('Small Signal'!$B$8+'Small Signal'!$B$9)+'Small Signal'!$B$6*'Small Signal'!$B$33*('Small Signal'!$B$8+'Small Signal'!$B$9)+'Small Signal'!$B$7*'Small Signal'!$B$8*('Small Signal'!$B$5+'Small Signal'!$B$6)),'Small Signal'!$B$6+'Small Signal'!$B$5),IMPRODUCT(IMPOWER(H136,2),'Small Signal'!$B$32*'Small Signal'!$B$33*'Small Signal'!$B$8*'Small Signal'!$B$7*('Small Signal'!$B$5+'Small Signal'!$B$6)+('Small Signal'!$B$5+'Small Signal'!$B$6)*('Small Signal'!$B$9*'Small Signal'!$B$8*'Small Signal'!$B$33*'Small Signal'!$B$7)))),-1)</f>
        <v>-0.500878824651454+0.114912649646764i</v>
      </c>
      <c r="T136" s="229">
        <f t="shared" si="32"/>
        <v>-5.782570651587546</v>
      </c>
      <c r="U136" s="229">
        <f t="shared" si="33"/>
        <v>167.0786895112545</v>
      </c>
      <c r="V136" s="229" t="str">
        <f t="shared" si="34"/>
        <v>0.245199651536707+1.08724132770989i</v>
      </c>
      <c r="W136" s="226">
        <f t="shared" si="35"/>
        <v>0.9419731935430589</v>
      </c>
      <c r="X136" s="229">
        <f t="shared" si="36"/>
        <v>77.29101139273531</v>
      </c>
      <c r="Y136" s="229" t="str">
        <f t="shared" si="37"/>
        <v>1.70017601195557+0.960569589439972i</v>
      </c>
      <c r="Z136" s="226">
        <f t="shared" si="38"/>
        <v>5.8130010876669385</v>
      </c>
      <c r="AA136" s="229">
        <f t="shared" si="39"/>
        <v>29.465685557304855</v>
      </c>
    </row>
    <row r="137" spans="6:27" ht="12.75">
      <c r="F137" s="78">
        <v>135</v>
      </c>
      <c r="G137" s="229">
        <f>10^('Small Signal'!F137/30)</f>
        <v>31622.77660168384</v>
      </c>
      <c r="H137" s="229" t="str">
        <f t="shared" si="27"/>
        <v>198691.765315922i</v>
      </c>
      <c r="I137" s="229">
        <f>IF('Small Signal'!$B$37&gt;=1,Q137+0,N137+0)</f>
        <v>6.0506436818503015</v>
      </c>
      <c r="J137" s="229">
        <f>IF('Small Signal'!$B$37&gt;=1,R137,O137)</f>
        <v>-91.09927413832017</v>
      </c>
      <c r="K137" s="229">
        <f>IF('Small Signal'!$B$37&gt;=1,Z137+0,W137+0)</f>
        <v>0.251159027599684</v>
      </c>
      <c r="L137" s="229">
        <f>IF('Small Signal'!$B$37&gt;=1,AA137,X137)</f>
        <v>76.03185734306106</v>
      </c>
      <c r="M137" s="229" t="str">
        <f>IMDIV(IMSUM('Small Signal'!$B$2*'Small Signal'!$B$16*'Small Signal'!$B$38,IMPRODUCT(H137,'Small Signal'!$B$2*'Small Signal'!$B$16*'Small Signal'!$B$38*'Small Signal'!$B$13*'Small Signal'!$B$14)),IMSUM(IMPRODUCT('Small Signal'!$B$11*'Small Signal'!$B$13*('Small Signal'!$B$14+'Small Signal'!$B$16),IMPOWER(H137,2)),IMSUM(IMPRODUCT(H137,('Small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-0.03850249899065-2.00656044637544i</v>
      </c>
      <c r="N137" s="229">
        <f t="shared" si="28"/>
        <v>6.0506436818503015</v>
      </c>
      <c r="O137" s="229">
        <f t="shared" si="29"/>
        <v>-91.09927413832017</v>
      </c>
      <c r="P137" s="229" t="str">
        <f>IMDIV(IMSUM('Small Signal'!$B$48,IMPRODUCT(H137,'Small Signal'!$B$49)),IMSUM(IMPRODUCT('Small Signal'!$B$52,IMPOWER(H137,2)),IMSUM(IMPRODUCT(H137,'Small Signal'!$B$51),'Small Signal'!$B$50)))</f>
        <v>-2.55458647910305-2.13429710029251i</v>
      </c>
      <c r="Q137" s="229">
        <f t="shared" si="30"/>
        <v>10.445842925598408</v>
      </c>
      <c r="R137" s="229">
        <f t="shared" si="31"/>
        <v>-140.1220347058326</v>
      </c>
      <c r="S137" s="229" t="str">
        <f>IMPRODUCT(IMDIV(IMSUM(IMPRODUCT(H137,'Small Signal'!$B$33*'Small Signal'!$B$6*'Small Signal'!$B$27*'Small Signal'!$B$7*'Small Signal'!$B$8),'Small Signal'!$B$33*'Small Signal'!$B$6*'Small Signal'!$B$27),IMSUM(IMSUM(IMPRODUCT(H137,('Small Signal'!$B$5+'Small Signal'!$B$6)*('Small Signal'!$B$32*'Small Signal'!$B$33)+'Small Signal'!$B$5*'Small Signal'!$B$33*('Small Signal'!$B$8+'Small Signal'!$B$9)+'Small Signal'!$B$6*'Small Signal'!$B$33*('Small Signal'!$B$8+'Small Signal'!$B$9)+'Small Signal'!$B$7*'Small Signal'!$B$8*('Small Signal'!$B$5+'Small Signal'!$B$6)),'Small Signal'!$B$6+'Small Signal'!$B$5),IMPRODUCT(IMPOWER(H137,2),'Small Signal'!$B$32*'Small Signal'!$B$33*'Small Signal'!$B$8*'Small Signal'!$B$7*('Small Signal'!$B$5+'Small Signal'!$B$6)+('Small Signal'!$B$5+'Small Signal'!$B$6)*('Small Signal'!$B$9*'Small Signal'!$B$8*'Small Signal'!$B$33*'Small Signal'!$B$7)))),-1)</f>
        <v>-0.500009177905724+0.114231495364535i</v>
      </c>
      <c r="T137" s="229">
        <f t="shared" si="32"/>
        <v>-5.7994846542506195</v>
      </c>
      <c r="U137" s="229">
        <f t="shared" si="33"/>
        <v>167.13113148138123</v>
      </c>
      <c r="V137" s="229" t="str">
        <f t="shared" si="34"/>
        <v>0.248464003196426+0.998900441175353i</v>
      </c>
      <c r="W137" s="226">
        <f t="shared" si="35"/>
        <v>0.251159027599684</v>
      </c>
      <c r="X137" s="229">
        <f t="shared" si="36"/>
        <v>76.03185734306106</v>
      </c>
      <c r="Y137" s="229" t="str">
        <f t="shared" si="37"/>
        <v>1.521120634624+0.775353904977864i</v>
      </c>
      <c r="Z137" s="226">
        <f t="shared" si="38"/>
        <v>4.646358271347793</v>
      </c>
      <c r="AA137" s="229">
        <f t="shared" si="39"/>
        <v>27.00909677554858</v>
      </c>
    </row>
    <row r="138" spans="6:27" ht="12.75">
      <c r="F138" s="78">
        <v>136</v>
      </c>
      <c r="G138" s="229">
        <f>10^('Small Signal'!F138/30)</f>
        <v>34145.48873833601</v>
      </c>
      <c r="H138" s="229" t="str">
        <f t="shared" si="27"/>
        <v>214542.433147179i</v>
      </c>
      <c r="I138" s="229">
        <f>IF('Small Signal'!$B$37&gt;=1,Q138+0,N138+0)</f>
        <v>5.371232430154903</v>
      </c>
      <c r="J138" s="229">
        <f>IF('Small Signal'!$B$37&gt;=1,R138,O138)</f>
        <v>-92.41384562812131</v>
      </c>
      <c r="K138" s="229">
        <f>IF('Small Signal'!$B$37&gt;=1,Z138+0,W138+0)</f>
        <v>-0.44507573526924504</v>
      </c>
      <c r="L138" s="229">
        <f>IF('Small Signal'!$B$37&gt;=1,AA138,X138)</f>
        <v>74.69643095345029</v>
      </c>
      <c r="M138" s="229" t="str">
        <f>IMDIV(IMSUM('Small Signal'!$B$2*'Small Signal'!$B$16*'Small Signal'!$B$38,IMPRODUCT(H138,'Small Signal'!$B$2*'Small Signal'!$B$16*'Small Signal'!$B$38*'Small Signal'!$B$13*'Small Signal'!$B$14)),IMSUM(IMPRODUCT('Small Signal'!$B$11*'Small Signal'!$B$13*('Small Signal'!$B$14+'Small Signal'!$B$16),IMPOWER(H138,2)),IMSUM(IMPRODUCT(H138,('Small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-0.0781663804951391-1.85428332543541i</v>
      </c>
      <c r="N138" s="229">
        <f t="shared" si="28"/>
        <v>5.371232430154903</v>
      </c>
      <c r="O138" s="229">
        <f t="shared" si="29"/>
        <v>-92.41384562812131</v>
      </c>
      <c r="P138" s="229" t="str">
        <f>IMDIV(IMSUM('Small Signal'!$B$48,IMPRODUCT(H138,'Small Signal'!$B$49)),IMSUM(IMPRODUCT('Small Signal'!$B$52,IMPOWER(H138,2)),IMSUM(IMPRODUCT(H138,'Small Signal'!$B$51),'Small Signal'!$B$50)))</f>
        <v>-2.30776849443918-1.77124847237683i</v>
      </c>
      <c r="Q138" s="229">
        <f t="shared" si="30"/>
        <v>9.275303230862797</v>
      </c>
      <c r="R138" s="229">
        <f t="shared" si="31"/>
        <v>-142.4931964266056</v>
      </c>
      <c r="S138" s="229" t="str">
        <f>IMPRODUCT(IMDIV(IMSUM(IMPRODUCT(H138,'Small Signal'!$B$33*'Small Signal'!$B$6*'Small Signal'!$B$27*'Small Signal'!$B$7*'Small Signal'!$B$8),'Small Signal'!$B$33*'Small Signal'!$B$6*'Small Signal'!$B$27),IMSUM(IMSUM(IMPRODUCT(H138,('Small Signal'!$B$5+'Small Signal'!$B$6)*('Small Signal'!$B$32*'Small Signal'!$B$33)+'Small Signal'!$B$5*'Small Signal'!$B$33*('Small Signal'!$B$8+'Small Signal'!$B$9)+'Small Signal'!$B$6*'Small Signal'!$B$33*('Small Signal'!$B$8+'Small Signal'!$B$9)+'Small Signal'!$B$7*'Small Signal'!$B$8*('Small Signal'!$B$5+'Small Signal'!$B$6)),'Small Signal'!$B$6+'Small Signal'!$B$5),IMPRODUCT(IMPOWER(H138,2),'Small Signal'!$B$32*'Small Signal'!$B$33*'Small Signal'!$B$8*'Small Signal'!$B$7*('Small Signal'!$B$5+'Small Signal'!$B$6)+('Small Signal'!$B$5+'Small Signal'!$B$6)*('Small Signal'!$B$9*'Small Signal'!$B$8*'Small Signal'!$B$33*'Small Signal'!$B$7)))),-1)</f>
        <v>-0.499000126921209+0.114192093944465i</v>
      </c>
      <c r="T138" s="229">
        <f t="shared" si="32"/>
        <v>-5.816308165424145</v>
      </c>
      <c r="U138" s="229">
        <f t="shared" si="33"/>
        <v>167.11027658157158</v>
      </c>
      <c r="V138" s="229" t="str">
        <f t="shared" si="34"/>
        <v>0.250749529485821+0.916361632075351i</v>
      </c>
      <c r="W138" s="226">
        <f t="shared" si="35"/>
        <v>-0.44507573526924504</v>
      </c>
      <c r="X138" s="229">
        <f t="shared" si="36"/>
        <v>74.69643095345029</v>
      </c>
      <c r="Y138" s="229" t="str">
        <f t="shared" si="37"/>
        <v>1.35383934358656+0.62032429580596i</v>
      </c>
      <c r="Z138" s="226">
        <f t="shared" si="38"/>
        <v>3.458995065438635</v>
      </c>
      <c r="AA138" s="229">
        <f t="shared" si="39"/>
        <v>24.61708015496604</v>
      </c>
    </row>
    <row r="139" spans="6:27" ht="12.75">
      <c r="F139" s="78">
        <v>137</v>
      </c>
      <c r="G139" s="229">
        <f>10^('Small Signal'!F139/30)</f>
        <v>36869.450645195764</v>
      </c>
      <c r="H139" s="229" t="str">
        <f t="shared" si="27"/>
        <v>231657.590577677i</v>
      </c>
      <c r="I139" s="229">
        <f>IF('Small Signal'!$B$37&gt;=1,Q139+0,N139+0)</f>
        <v>4.686062475305234</v>
      </c>
      <c r="J139" s="229">
        <f>IF('Small Signal'!$B$37&gt;=1,R139,O139)</f>
        <v>-93.73712181495873</v>
      </c>
      <c r="K139" s="229">
        <f>IF('Small Signal'!$B$37&gt;=1,Z139+0,W139+0)</f>
        <v>-1.1473608446956534</v>
      </c>
      <c r="L139" s="229">
        <f>IF('Small Signal'!$B$37&gt;=1,AA139,X139)</f>
        <v>73.27891423496139</v>
      </c>
      <c r="M139" s="229" t="str">
        <f>IMDIV(IMSUM('Small Signal'!$B$2*'Small Signal'!$B$16*'Small Signal'!$B$38,IMPRODUCT(H139,'Small Signal'!$B$2*'Small Signal'!$B$16*'Small Signal'!$B$38*'Small Signal'!$B$13*'Small Signal'!$B$14)),IMSUM(IMPRODUCT('Small Signal'!$B$11*'Small Signal'!$B$13*('Small Signal'!$B$14+'Small Signal'!$B$16),IMPOWER(H139,2)),IMSUM(IMPRODUCT(H139,('Small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-0.111791752570224-1.71150690679623i</v>
      </c>
      <c r="N139" s="229">
        <f t="shared" si="28"/>
        <v>4.686062475305234</v>
      </c>
      <c r="O139" s="229">
        <f t="shared" si="29"/>
        <v>-93.73712181495873</v>
      </c>
      <c r="P139" s="229" t="str">
        <f>IMDIV(IMSUM('Small Signal'!$B$48,IMPRODUCT(H139,'Small Signal'!$B$49)),IMSUM(IMPRODUCT('Small Signal'!$B$52,IMPOWER(H139,2)),IMSUM(IMPRODUCT(H139,'Small Signal'!$B$51),'Small Signal'!$B$50)))</f>
        <v>-2.0710459283325-1.46502259067122i</v>
      </c>
      <c r="Q139" s="229">
        <f t="shared" si="30"/>
        <v>8.085838082068435</v>
      </c>
      <c r="R139" s="229">
        <f t="shared" si="31"/>
        <v>-144.72506259205485</v>
      </c>
      <c r="S139" s="229" t="str">
        <f>IMPRODUCT(IMDIV(IMSUM(IMPRODUCT(H139,'Small Signal'!$B$33*'Small Signal'!$B$6*'Small Signal'!$B$27*'Small Signal'!$B$7*'Small Signal'!$B$8),'Small Signal'!$B$33*'Small Signal'!$B$6*'Small Signal'!$B$27),IMSUM(IMSUM(IMPRODUCT(H139,('Small Signal'!$B$5+'Small Signal'!$B$6)*('Small Signal'!$B$32*'Small Signal'!$B$33)+'Small Signal'!$B$5*'Small Signal'!$B$33*('Small Signal'!$B$8+'Small Signal'!$B$9)+'Small Signal'!$B$6*'Small Signal'!$B$33*('Small Signal'!$B$8+'Small Signal'!$B$9)+'Small Signal'!$B$7*'Small Signal'!$B$8*('Small Signal'!$B$5+'Small Signal'!$B$6)),'Small Signal'!$B$6+'Small Signal'!$B$5),IMPRODUCT(IMPOWER(H139,2),'Small Signal'!$B$32*'Small Signal'!$B$33*'Small Signal'!$B$8*'Small Signal'!$B$7*('Small Signal'!$B$5+'Small Signal'!$B$6)+('Small Signal'!$B$5+'Small Signal'!$B$6)*('Small Signal'!$B$9*'Small Signal'!$B$8*'Small Signal'!$B$33*'Small Signal'!$B$7)))),-1)</f>
        <v>-0.497829709859664+0.114786294079195i</v>
      </c>
      <c r="T139" s="229">
        <f t="shared" si="32"/>
        <v>-5.833423320000887</v>
      </c>
      <c r="U139" s="229">
        <f t="shared" si="33"/>
        <v>167.0160360499201</v>
      </c>
      <c r="V139" s="229" t="str">
        <f t="shared" si="34"/>
        <v>0.252110790868823+0.839206825847024i</v>
      </c>
      <c r="W139" s="226">
        <f t="shared" si="35"/>
        <v>-1.1473608446956534</v>
      </c>
      <c r="X139" s="229">
        <f t="shared" si="36"/>
        <v>73.27891423496139</v>
      </c>
      <c r="Y139" s="229" t="str">
        <f t="shared" si="37"/>
        <v>1.19919270753326+0.491604084270613i</v>
      </c>
      <c r="Z139" s="226">
        <f t="shared" si="38"/>
        <v>2.252414762067561</v>
      </c>
      <c r="AA139" s="229">
        <f t="shared" si="39"/>
        <v>22.290973457865185</v>
      </c>
    </row>
    <row r="140" spans="6:27" ht="12.75">
      <c r="F140" s="78">
        <v>138</v>
      </c>
      <c r="G140" s="229">
        <f>10^('Small Signal'!F140/30)</f>
        <v>39810.71705534974</v>
      </c>
      <c r="H140" s="229" t="str">
        <f t="shared" si="27"/>
        <v>250138.112470457i</v>
      </c>
      <c r="I140" s="229">
        <f>IF('Small Signal'!$B$37&gt;=1,Q140+0,N140+0)</f>
        <v>3.9947780623775158</v>
      </c>
      <c r="J140" s="229">
        <f>IF('Small Signal'!$B$37&gt;=1,R140,O140)</f>
        <v>-95.07463637879182</v>
      </c>
      <c r="K140" s="229">
        <f>IF('Small Signal'!$B$37&gt;=1,Z140+0,W140+0)</f>
        <v>-1.8564400290781427</v>
      </c>
      <c r="L140" s="229">
        <f>IF('Small Signal'!$B$37&gt;=1,AA140,X140)</f>
        <v>71.77338413182595</v>
      </c>
      <c r="M140" s="229" t="str">
        <f>IMDIV(IMSUM('Small Signal'!$B$2*'Small Signal'!$B$16*'Small Signal'!$B$38,IMPRODUCT(H140,'Small Signal'!$B$2*'Small Signal'!$B$16*'Small Signal'!$B$38*'Small Signal'!$B$13*'Small Signal'!$B$14)),IMSUM(IMPRODUCT('Small Signal'!$B$11*'Small Signal'!$B$13*('Small Signal'!$B$14+'Small Signal'!$B$16),IMPOWER(H140,2)),IMSUM(IMPRODUCT(H140,('Small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-0.140104875228804-1.57773210317257i</v>
      </c>
      <c r="N140" s="229">
        <f t="shared" si="28"/>
        <v>3.9947780623775158</v>
      </c>
      <c r="O140" s="229">
        <f t="shared" si="29"/>
        <v>-95.07463637879182</v>
      </c>
      <c r="P140" s="229" t="str">
        <f>IMDIV(IMSUM('Small Signal'!$B$48,IMPRODUCT(H140,'Small Signal'!$B$49)),IMSUM(IMPRODUCT('Small Signal'!$B$52,IMPOWER(H140,2)),IMSUM(IMPRODUCT(H140,'Small Signal'!$B$51),'Small Signal'!$B$50)))</f>
        <v>-1.84779341597642-1.20836124807204i</v>
      </c>
      <c r="Q140" s="229">
        <f t="shared" si="30"/>
        <v>6.879280624149855</v>
      </c>
      <c r="R140" s="229">
        <f t="shared" si="31"/>
        <v>-146.8173912185258</v>
      </c>
      <c r="S140" s="229" t="str">
        <f>IMPRODUCT(IMDIV(IMSUM(IMPRODUCT(H140,'Small Signal'!$B$33*'Small Signal'!$B$6*'Small Signal'!$B$27*'Small Signal'!$B$7*'Small Signal'!$B$8),'Small Signal'!$B$33*'Small Signal'!$B$6*'Small Signal'!$B$27),IMSUM(IMSUM(IMPRODUCT(H140,('Small Signal'!$B$5+'Small Signal'!$B$6)*('Small Signal'!$B$32*'Small Signal'!$B$33)+'Small Signal'!$B$5*'Small Signal'!$B$33*('Small Signal'!$B$8+'Small Signal'!$B$9)+'Small Signal'!$B$6*'Small Signal'!$B$33*('Small Signal'!$B$8+'Small Signal'!$B$9)+'Small Signal'!$B$7*'Small Signal'!$B$8*('Small Signal'!$B$5+'Small Signal'!$B$6)),'Small Signal'!$B$6+'Small Signal'!$B$5),IMPRODUCT(IMPOWER(H140,2),'Small Signal'!$B$32*'Small Signal'!$B$33*'Small Signal'!$B$8*'Small Signal'!$B$7*('Small Signal'!$B$5+'Small Signal'!$B$6)+('Small Signal'!$B$5+'Small Signal'!$B$6)*('Small Signal'!$B$9*'Small Signal'!$B$8*'Small Signal'!$B$33*'Small Signal'!$B$7)))),-1)</f>
        <v>-0.496472801950107+0.116007737894515i</v>
      </c>
      <c r="T140" s="229">
        <f t="shared" si="32"/>
        <v>-5.851218091455655</v>
      </c>
      <c r="U140" s="229">
        <f t="shared" si="33"/>
        <v>166.84802051061777</v>
      </c>
      <c r="V140" s="229" t="str">
        <f t="shared" si="34"/>
        <v>0.25258739226432+0.767047828345434i</v>
      </c>
      <c r="W140" s="226">
        <f t="shared" si="35"/>
        <v>-1.8564400290781427</v>
      </c>
      <c r="X140" s="229">
        <f t="shared" si="36"/>
        <v>71.77338413182595</v>
      </c>
      <c r="Y140" s="229" t="str">
        <f t="shared" si="37"/>
        <v>1.057558429603+0.385560160314451i</v>
      </c>
      <c r="Z140" s="226">
        <f t="shared" si="38"/>
        <v>1.0280625326941781</v>
      </c>
      <c r="AA140" s="229">
        <f t="shared" si="39"/>
        <v>20.030629292092033</v>
      </c>
    </row>
    <row r="141" spans="6:27" ht="12.75">
      <c r="F141" s="78">
        <v>139</v>
      </c>
      <c r="G141" s="229">
        <f>10^('Small Signal'!F141/30)</f>
        <v>42986.62347082288</v>
      </c>
      <c r="H141" s="229" t="str">
        <f t="shared" si="27"/>
        <v>270092.920997135i</v>
      </c>
      <c r="I141" s="229">
        <f>IF('Small Signal'!$B$37&gt;=1,Q141+0,N141+0)</f>
        <v>3.296913349845525</v>
      </c>
      <c r="J141" s="229">
        <f>IF('Small Signal'!$B$37&gt;=1,R141,O141)</f>
        <v>-96.43166439687658</v>
      </c>
      <c r="K141" s="229">
        <f>IF('Small Signal'!$B$37&gt;=1,Z141+0,W141+0)</f>
        <v>-2.5731806420443752</v>
      </c>
      <c r="L141" s="229">
        <f>IF('Small Signal'!$B$37&gt;=1,AA141,X141)</f>
        <v>70.17388110298259</v>
      </c>
      <c r="M141" s="229" t="str">
        <f>IMDIV(IMSUM('Small Signal'!$B$2*'Small Signal'!$B$16*'Small Signal'!$B$38,IMPRODUCT(H141,'Small Signal'!$B$2*'Small Signal'!$B$16*'Small Signal'!$B$38*'Small Signal'!$B$13*'Small Signal'!$B$14)),IMSUM(IMPRODUCT('Small Signal'!$B$11*'Small Signal'!$B$13*('Small Signal'!$B$14+'Small Signal'!$B$16),IMPOWER(H141,2)),IMSUM(IMPRODUCT(H141,('Small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-0.163732141908589-1.45245822889542i</v>
      </c>
      <c r="N141" s="229">
        <f t="shared" si="28"/>
        <v>3.296913349845525</v>
      </c>
      <c r="O141" s="229">
        <f t="shared" si="29"/>
        <v>-96.43166439687658</v>
      </c>
      <c r="P141" s="229" t="str">
        <f>IMDIV(IMSUM('Small Signal'!$B$48,IMPRODUCT(H141,'Small Signal'!$B$49)),IMSUM(IMPRODUCT('Small Signal'!$B$52,IMPOWER(H141,2)),IMSUM(IMPRODUCT(H141,'Small Signal'!$B$51),'Small Signal'!$B$50)))</f>
        <v>-1.64016358923983-0.994454061224478i</v>
      </c>
      <c r="Q141" s="229">
        <f t="shared" si="30"/>
        <v>5.657386978421771</v>
      </c>
      <c r="R141" s="229">
        <f t="shared" si="31"/>
        <v>-148.77098237728092</v>
      </c>
      <c r="S141" s="229" t="str">
        <f>IMPRODUCT(IMDIV(IMSUM(IMPRODUCT(H141,'Small Signal'!$B$33*'Small Signal'!$B$6*'Small Signal'!$B$27*'Small Signal'!$B$7*'Small Signal'!$B$8),'Small Signal'!$B$33*'Small Signal'!$B$6*'Small Signal'!$B$27),IMSUM(IMSUM(IMPRODUCT(H141,('Small Signal'!$B$5+'Small Signal'!$B$6)*('Small Signal'!$B$32*'Small Signal'!$B$33)+'Small Signal'!$B$5*'Small Signal'!$B$33*('Small Signal'!$B$8+'Small Signal'!$B$9)+'Small Signal'!$B$6*'Small Signal'!$B$33*('Small Signal'!$B$8+'Small Signal'!$B$9)+'Small Signal'!$B$7*'Small Signal'!$B$8*('Small Signal'!$B$5+'Small Signal'!$B$6)),'Small Signal'!$B$6+'Small Signal'!$B$5),IMPRODUCT(IMPOWER(H141,2),'Small Signal'!$B$32*'Small Signal'!$B$33*'Small Signal'!$B$8*'Small Signal'!$B$7*('Small Signal'!$B$5+'Small Signal'!$B$6)+('Small Signal'!$B$5+'Small Signal'!$B$6)*('Small Signal'!$B$9*'Small Signal'!$B$8*'Small Signal'!$B$33*'Small Signal'!$B$7)))),-1)</f>
        <v>-0.494900742206724+0.117851370025293i</v>
      </c>
      <c r="T141" s="229">
        <f t="shared" si="32"/>
        <v>-5.870093991889896</v>
      </c>
      <c r="U141" s="229">
        <f t="shared" si="33"/>
        <v>166.60554549985918</v>
      </c>
      <c r="V141" s="229" t="str">
        <f t="shared" si="34"/>
        <v>0.252205350733493+0.699526598263504i</v>
      </c>
      <c r="W141" s="226">
        <f t="shared" si="35"/>
        <v>-2.5731806420443752</v>
      </c>
      <c r="X141" s="229">
        <f t="shared" si="36"/>
        <v>70.17388110298259</v>
      </c>
      <c r="Y141" s="229" t="str">
        <f t="shared" si="37"/>
        <v>0.928915951197758+0.298860526932969i</v>
      </c>
      <c r="Z141" s="226">
        <f t="shared" si="38"/>
        <v>-0.212707013468121</v>
      </c>
      <c r="AA141" s="229">
        <f t="shared" si="39"/>
        <v>17.834563122578228</v>
      </c>
    </row>
    <row r="142" spans="6:27" ht="12.75">
      <c r="F142" s="78">
        <v>140</v>
      </c>
      <c r="G142" s="229">
        <f>10^('Small Signal'!F142/30)</f>
        <v>46415.888336127835</v>
      </c>
      <c r="H142" s="229" t="str">
        <f t="shared" si="27"/>
        <v>291639.627613247i</v>
      </c>
      <c r="I142" s="229">
        <f>IF('Small Signal'!$B$37&gt;=1,Q142+0,N142+0)</f>
        <v>2.591890397111239</v>
      </c>
      <c r="J142" s="229">
        <f>IF('Small Signal'!$B$37&gt;=1,R142,O142)</f>
        <v>-97.8131484390384</v>
      </c>
      <c r="K142" s="229">
        <f>IF('Small Signal'!$B$37&gt;=1,Z142+0,W142+0)</f>
        <v>-3.2985834807235506</v>
      </c>
      <c r="L142" s="229">
        <f>IF('Small Signal'!$B$37&gt;=1,AA142,X142)</f>
        <v>68.47449329911579</v>
      </c>
      <c r="M142" s="229" t="str">
        <f>IMDIV(IMSUM('Small Signal'!$B$2*'Small Signal'!$B$16*'Small Signal'!$B$38,IMPRODUCT(H142,'Small Signal'!$B$2*'Small Signal'!$B$16*'Small Signal'!$B$38*'Small Signal'!$B$13*'Small Signal'!$B$14)),IMSUM(IMPRODUCT('Small Signal'!$B$11*'Small Signal'!$B$13*('Small Signal'!$B$14+'Small Signal'!$B$16),IMPOWER(H142,2)),IMSUM(IMPRODUCT(H142,('Small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-0.183210830497683-1.33519282655114i</v>
      </c>
      <c r="N142" s="229">
        <f t="shared" si="28"/>
        <v>2.591890397111239</v>
      </c>
      <c r="O142" s="229">
        <f t="shared" si="29"/>
        <v>-97.8131484390384</v>
      </c>
      <c r="P142" s="229" t="str">
        <f>IMDIV(IMSUM('Small Signal'!$B$48,IMPRODUCT(H142,'Small Signal'!$B$49)),IMSUM(IMPRODUCT('Small Signal'!$B$52,IMPOWER(H142,2)),IMSUM(IMPRODUCT(H142,'Small Signal'!$B$51),'Small Signal'!$B$50)))</f>
        <v>-1.44931341583703-0.817062186470095i</v>
      </c>
      <c r="Q142" s="229">
        <f t="shared" si="30"/>
        <v>4.421817743713829</v>
      </c>
      <c r="R142" s="229">
        <f t="shared" si="31"/>
        <v>-150.587517594062</v>
      </c>
      <c r="S142" s="229" t="str">
        <f>IMPRODUCT(IMDIV(IMSUM(IMPRODUCT(H142,'Small Signal'!$B$33*'Small Signal'!$B$6*'Small Signal'!$B$27*'Small Signal'!$B$7*'Small Signal'!$B$8),'Small Signal'!$B$33*'Small Signal'!$B$6*'Small Signal'!$B$27),IMSUM(IMSUM(IMPRODUCT(H142,('Small Signal'!$B$5+'Small Signal'!$B$6)*('Small Signal'!$B$32*'Small Signal'!$B$33)+'Small Signal'!$B$5*'Small Signal'!$B$33*('Small Signal'!$B$8+'Small Signal'!$B$9)+'Small Signal'!$B$6*'Small Signal'!$B$33*('Small Signal'!$B$8+'Small Signal'!$B$9)+'Small Signal'!$B$7*'Small Signal'!$B$8*('Small Signal'!$B$5+'Small Signal'!$B$6)),'Small Signal'!$B$6+'Small Signal'!$B$5),IMPRODUCT(IMPOWER(H142,2),'Small Signal'!$B$32*'Small Signal'!$B$33*'Small Signal'!$B$8*'Small Signal'!$B$7*('Small Signal'!$B$5+'Small Signal'!$B$6)+('Small Signal'!$B$5+'Small Signal'!$B$6)*('Small Signal'!$B$9*'Small Signal'!$B$8*'Small Signal'!$B$33*'Small Signal'!$B$7)))),-1)</f>
        <v>-0.493080948676434+0.12031285846291i</v>
      </c>
      <c r="T142" s="229">
        <f t="shared" si="32"/>
        <v>-5.890473877834783</v>
      </c>
      <c r="U142" s="229">
        <f t="shared" si="33"/>
        <v>166.28764173815424</v>
      </c>
      <c r="V142" s="229" t="str">
        <f t="shared" si="34"/>
        <v>0.250978635671135+0.636315526863265i</v>
      </c>
      <c r="W142" s="226">
        <f t="shared" si="35"/>
        <v>-3.2985834807235506</v>
      </c>
      <c r="X142" s="229">
        <f t="shared" si="36"/>
        <v>68.47449329911579</v>
      </c>
      <c r="Y142" s="229" t="str">
        <f t="shared" si="37"/>
        <v>0.812931921206578+0.228506758164319i</v>
      </c>
      <c r="Z142" s="226">
        <f t="shared" si="38"/>
        <v>-1.4686561341209539</v>
      </c>
      <c r="AA142" s="229">
        <f t="shared" si="39"/>
        <v>15.700124144092245</v>
      </c>
    </row>
    <row r="143" spans="6:27" ht="12.75">
      <c r="F143" s="78">
        <v>141</v>
      </c>
      <c r="G143" s="229">
        <f>10^('Small Signal'!F143/30)</f>
        <v>50118.723362727294</v>
      </c>
      <c r="H143" s="229" t="str">
        <f t="shared" si="27"/>
        <v>314905.226247286i</v>
      </c>
      <c r="I143" s="229">
        <f>IF('Small Signal'!$B$37&gt;=1,Q143+0,N143+0)</f>
        <v>1.879017544900223</v>
      </c>
      <c r="J143" s="229">
        <f>IF('Small Signal'!$B$37&gt;=1,R143,O143)</f>
        <v>-99.22361162874745</v>
      </c>
      <c r="K143" s="229">
        <f>IF('Small Signal'!$B$37&gt;=1,Z143+0,W143+0)</f>
        <v>-4.033792361550948</v>
      </c>
      <c r="L143" s="229">
        <f>IF('Small Signal'!$B$37&gt;=1,AA143,X143)</f>
        <v>66.669459076505</v>
      </c>
      <c r="M143" s="229" t="str">
        <f>IMDIV(IMSUM('Small Signal'!$B$2*'Small Signal'!$B$16*'Small Signal'!$B$38,IMPRODUCT(H143,'Small Signal'!$B$2*'Small Signal'!$B$16*'Small Signal'!$B$38*'Small Signal'!$B$13*'Small Signal'!$B$14)),IMSUM(IMPRODUCT('Small Signal'!$B$11*'Small Signal'!$B$13*('Small Signal'!$B$14+'Small Signal'!$B$16),IMPOWER(H143,2)),IMSUM(IMPRODUCT(H143,('Small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-0.19899942235405-1.22545948970473i</v>
      </c>
      <c r="N143" s="229">
        <f t="shared" si="28"/>
        <v>1.879017544900223</v>
      </c>
      <c r="O143" s="229">
        <f t="shared" si="29"/>
        <v>-99.22361162874745</v>
      </c>
      <c r="P143" s="229" t="str">
        <f>IMDIV(IMSUM('Small Signal'!$B$48,IMPRODUCT(H143,'Small Signal'!$B$49)),IMSUM(IMPRODUCT('Small Signal'!$B$52,IMPOWER(H143,2)),IMSUM(IMPRODUCT(H143,'Small Signal'!$B$51),'Small Signal'!$B$50)))</f>
        <v>-1.27561843263093-0.670584166938929i</v>
      </c>
      <c r="Q143" s="229">
        <f t="shared" si="30"/>
        <v>3.174125564880406</v>
      </c>
      <c r="R143" s="229">
        <f t="shared" si="31"/>
        <v>-152.269392276025</v>
      </c>
      <c r="S143" s="229" t="str">
        <f>IMPRODUCT(IMDIV(IMSUM(IMPRODUCT(H143,'Small Signal'!$B$33*'Small Signal'!$B$6*'Small Signal'!$B$27*'Small Signal'!$B$7*'Small Signal'!$B$8),'Small Signal'!$B$33*'Small Signal'!$B$6*'Small Signal'!$B$27),IMSUM(IMSUM(IMPRODUCT(H143,('Small Signal'!$B$5+'Small Signal'!$B$6)*('Small Signal'!$B$32*'Small Signal'!$B$33)+'Small Signal'!$B$5*'Small Signal'!$B$33*('Small Signal'!$B$8+'Small Signal'!$B$9)+'Small Signal'!$B$6*'Small Signal'!$B$33*('Small Signal'!$B$8+'Small Signal'!$B$9)+'Small Signal'!$B$7*'Small Signal'!$B$8*('Small Signal'!$B$5+'Small Signal'!$B$6)),'Small Signal'!$B$6+'Small Signal'!$B$5),IMPRODUCT(IMPOWER(H143,2),'Small Signal'!$B$32*'Small Signal'!$B$33*'Small Signal'!$B$8*'Small Signal'!$B$7*('Small Signal'!$B$5+'Small Signal'!$B$6)+('Small Signal'!$B$5+'Small Signal'!$B$6)*('Small Signal'!$B$9*'Small Signal'!$B$8*'Small Signal'!$B$33*'Small Signal'!$B$7)))),-1)</f>
        <v>-0.490976535191145+0.123387908006654i</v>
      </c>
      <c r="T143" s="229">
        <f t="shared" si="32"/>
        <v>-5.912809906451166</v>
      </c>
      <c r="U143" s="229">
        <f t="shared" si="33"/>
        <v>165.89307070525246</v>
      </c>
      <c r="V143" s="229" t="str">
        <f t="shared" si="34"/>
        <v>0.248910929673999+0.577117731853538i</v>
      </c>
      <c r="W143" s="226">
        <f t="shared" si="35"/>
        <v>-4.033792361550948</v>
      </c>
      <c r="X143" s="229">
        <f t="shared" si="36"/>
        <v>66.669459076505</v>
      </c>
      <c r="Y143" s="229" t="str">
        <f t="shared" si="37"/>
        <v>0.709040695780072+0.171845201020658i</v>
      </c>
      <c r="Z143" s="226">
        <f t="shared" si="38"/>
        <v>-2.738684341570765</v>
      </c>
      <c r="AA143" s="229">
        <f t="shared" si="39"/>
        <v>13.623678429227434</v>
      </c>
    </row>
    <row r="144" spans="6:27" ht="12.75">
      <c r="F144" s="78">
        <v>142</v>
      </c>
      <c r="G144" s="229">
        <f>10^('Small Signal'!F144/30)</f>
        <v>54116.952654646455</v>
      </c>
      <c r="H144" s="229" t="str">
        <f t="shared" si="27"/>
        <v>340026.841789008i</v>
      </c>
      <c r="I144" s="229">
        <f>IF('Small Signal'!$B$37&gt;=1,Q144+0,N144+0)</f>
        <v>1.1574887739396598</v>
      </c>
      <c r="J144" s="229">
        <f>IF('Small Signal'!$B$37&gt;=1,R144,O144)</f>
        <v>-100.66705599900817</v>
      </c>
      <c r="K144" s="229">
        <f>IF('Small Signal'!$B$37&gt;=1,Z144+0,W144+0)</f>
        <v>-4.780102891289974</v>
      </c>
      <c r="L144" s="229">
        <f>IF('Small Signal'!$B$37&gt;=1,AA144,X144)</f>
        <v>64.75329031837207</v>
      </c>
      <c r="M144" s="229" t="str">
        <f>IMDIV(IMSUM('Small Signal'!$B$2*'Small Signal'!$B$16*'Small Signal'!$B$38,IMPRODUCT(H144,'Small Signal'!$B$2*'Small Signal'!$B$16*'Small Signal'!$B$38*'Small Signal'!$B$13*'Small Signal'!$B$14)),IMSUM(IMPRODUCT('Small Signal'!$B$11*'Small Signal'!$B$13*('Small Signal'!$B$14+'Small Signal'!$B$16),IMPOWER(H144,2)),IMSUM(IMPRODUCT(H144,('Small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-0.211487456079944-1.12280403172182i</v>
      </c>
      <c r="N144" s="229">
        <f t="shared" si="28"/>
        <v>1.1574887739396598</v>
      </c>
      <c r="O144" s="229">
        <f t="shared" si="29"/>
        <v>-100.66705599900817</v>
      </c>
      <c r="P144" s="229" t="str">
        <f>IMDIV(IMSUM('Small Signal'!$B$48,IMPRODUCT(H144,'Small Signal'!$B$49)),IMSUM(IMPRODUCT('Small Signal'!$B$52,IMPOWER(H144,2)),IMSUM(IMPRODUCT(H144,'Small Signal'!$B$51),'Small Signal'!$B$50)))</f>
        <v>-1.118865326548-0.550075862081694i</v>
      </c>
      <c r="Q144" s="229">
        <f t="shared" si="30"/>
        <v>1.9157482188497683</v>
      </c>
      <c r="R144" s="229">
        <f t="shared" si="31"/>
        <v>-153.81955023847317</v>
      </c>
      <c r="S144" s="229" t="str">
        <f>IMPRODUCT(IMDIV(IMSUM(IMPRODUCT(H144,'Small Signal'!$B$33*'Small Signal'!$B$6*'Small Signal'!$B$27*'Small Signal'!$B$7*'Small Signal'!$B$8),'Small Signal'!$B$33*'Small Signal'!$B$6*'Small Signal'!$B$27),IMSUM(IMSUM(IMPRODUCT(H144,('Small Signal'!$B$5+'Small Signal'!$B$6)*('Small Signal'!$B$32*'Small Signal'!$B$33)+'Small Signal'!$B$5*'Small Signal'!$B$33*('Small Signal'!$B$8+'Small Signal'!$B$9)+'Small Signal'!$B$6*'Small Signal'!$B$33*('Small Signal'!$B$8+'Small Signal'!$B$9)+'Small Signal'!$B$7*'Small Signal'!$B$8*('Small Signal'!$B$5+'Small Signal'!$B$6)),'Small Signal'!$B$6+'Small Signal'!$B$5),IMPRODUCT(IMPOWER(H144,2),'Small Signal'!$B$32*'Small Signal'!$B$33*'Small Signal'!$B$8*'Small Signal'!$B$7*('Small Signal'!$B$5+'Small Signal'!$B$6)+('Small Signal'!$B$5+'Small Signal'!$B$6)*('Small Signal'!$B$9*'Small Signal'!$B$8*'Small Signal'!$B$33*'Small Signal'!$B$7)))),-1)</f>
        <v>-0.488545948547606+0.127071446041748i</v>
      </c>
      <c r="T144" s="229">
        <f t="shared" si="32"/>
        <v>-5.937591665229637</v>
      </c>
      <c r="U144" s="229">
        <f t="shared" si="33"/>
        <v>165.42034631738025</v>
      </c>
      <c r="V144" s="229" t="str">
        <f t="shared" si="34"/>
        <v>0.245997671768893+0.521667343846844i</v>
      </c>
      <c r="W144" s="226">
        <f t="shared" si="35"/>
        <v>-4.780102891289974</v>
      </c>
      <c r="X144" s="229">
        <f t="shared" si="36"/>
        <v>64.75329031837207</v>
      </c>
      <c r="Y144" s="229" t="str">
        <f t="shared" si="37"/>
        <v>0.616516057482802+0.126561498843416i</v>
      </c>
      <c r="Z144" s="226">
        <f t="shared" si="38"/>
        <v>-4.021843446379867</v>
      </c>
      <c r="AA144" s="229">
        <f t="shared" si="39"/>
        <v>11.600796078907067</v>
      </c>
    </row>
    <row r="145" spans="6:27" ht="12.75">
      <c r="F145" s="78">
        <v>143</v>
      </c>
      <c r="G145" s="229">
        <f>10^('Small Signal'!F145/30)</f>
        <v>58434.141337351764</v>
      </c>
      <c r="H145" s="229" t="str">
        <f t="shared" si="27"/>
        <v>367152.538288504i</v>
      </c>
      <c r="I145" s="229">
        <f>IF('Small Signal'!$B$37&gt;=1,Q145+0,N145+0)</f>
        <v>0.4263847568763117</v>
      </c>
      <c r="J145" s="229">
        <f>IF('Small Signal'!$B$37&gt;=1,R145,O145)</f>
        <v>-102.14684524977365</v>
      </c>
      <c r="K145" s="229">
        <f>IF('Small Signal'!$B$37&gt;=1,Z145+0,W145+0)</f>
        <v>-5.538969710006346</v>
      </c>
      <c r="L145" s="229">
        <f>IF('Small Signal'!$B$37&gt;=1,AA145,X145)</f>
        <v>62.720918492807925</v>
      </c>
      <c r="M145" s="229" t="str">
        <f>IMDIV(IMSUM('Small Signal'!$B$2*'Small Signal'!$B$16*'Small Signal'!$B$38,IMPRODUCT(H145,'Small Signal'!$B$2*'Small Signal'!$B$16*'Small Signal'!$B$38*'Small Signal'!$B$13*'Small Signal'!$B$14)),IMSUM(IMPRODUCT('Small Signal'!$B$11*'Small Signal'!$B$13*('Small Signal'!$B$14+'Small Signal'!$B$16),IMPOWER(H145,2)),IMSUM(IMPRODUCT(H145,('Small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-0.221004942394364-1.02679926861232i</v>
      </c>
      <c r="N145" s="229">
        <f t="shared" si="28"/>
        <v>0.4263847568763117</v>
      </c>
      <c r="O145" s="229">
        <f t="shared" si="29"/>
        <v>-102.14684524977365</v>
      </c>
      <c r="P145" s="229" t="str">
        <f>IMDIV(IMSUM('Small Signal'!$B$48,IMPRODUCT(H145,'Small Signal'!$B$49)),IMSUM(IMPRODUCT('Small Signal'!$B$52,IMPOWER(H145,2)),IMSUM(IMPRODUCT(H145,'Small Signal'!$B$51),'Small Signal'!$B$50)))</f>
        <v>-0.978417772399548-0.451236363739951i</v>
      </c>
      <c r="Q145" s="229">
        <f t="shared" si="30"/>
        <v>0.6480064463700219</v>
      </c>
      <c r="R145" s="229">
        <f t="shared" si="31"/>
        <v>-155.2413270894148</v>
      </c>
      <c r="S145" s="229" t="str">
        <f>IMPRODUCT(IMDIV(IMSUM(IMPRODUCT(H145,'Small Signal'!$B$33*'Small Signal'!$B$6*'Small Signal'!$B$27*'Small Signal'!$B$7*'Small Signal'!$B$8),'Small Signal'!$B$33*'Small Signal'!$B$6*'Small Signal'!$B$27),IMSUM(IMSUM(IMPRODUCT(H145,('Small Signal'!$B$5+'Small Signal'!$B$6)*('Small Signal'!$B$32*'Small Signal'!$B$33)+'Small Signal'!$B$5*'Small Signal'!$B$33*('Small Signal'!$B$8+'Small Signal'!$B$9)+'Small Signal'!$B$6*'Small Signal'!$B$33*('Small Signal'!$B$8+'Small Signal'!$B$9)+'Small Signal'!$B$7*'Small Signal'!$B$8*('Small Signal'!$B$5+'Small Signal'!$B$6)),'Small Signal'!$B$6+'Small Signal'!$B$5),IMPRODUCT(IMPOWER(H145,2),'Small Signal'!$B$32*'Small Signal'!$B$33*'Small Signal'!$B$8*'Small Signal'!$B$7*('Small Signal'!$B$5+'Small Signal'!$B$6)+('Small Signal'!$B$5+'Small Signal'!$B$6)*('Small Signal'!$B$9*'Small Signal'!$B$8*'Small Signal'!$B$33*'Small Signal'!$B$7)))),-1)</f>
        <v>-0.485742652550135+0.131356660291206i</v>
      </c>
      <c r="T145" s="229">
        <f t="shared" si="32"/>
        <v>-5.965354466882658</v>
      </c>
      <c r="U145" s="229">
        <f t="shared" si="33"/>
        <v>164.8677637425815</v>
      </c>
      <c r="V145" s="229" t="str">
        <f t="shared" si="34"/>
        <v>0.242228449659695+0.469729729231513i</v>
      </c>
      <c r="W145" s="226">
        <f t="shared" si="35"/>
        <v>-5.538969710006346</v>
      </c>
      <c r="X145" s="229">
        <f t="shared" si="36"/>
        <v>62.720918492807925</v>
      </c>
      <c r="Y145" s="229" t="str">
        <f t="shared" si="37"/>
        <v>0.534532145810379+0.0906630572981554i</v>
      </c>
      <c r="Z145" s="226">
        <f t="shared" si="38"/>
        <v>-5.317348020512629</v>
      </c>
      <c r="AA145" s="229">
        <f t="shared" si="39"/>
        <v>9.626436653166705</v>
      </c>
    </row>
    <row r="146" spans="6:27" ht="12.75">
      <c r="F146" s="78">
        <v>144</v>
      </c>
      <c r="G146" s="229">
        <f>10^('Small Signal'!F146/30)</f>
        <v>63095.73444801934</v>
      </c>
      <c r="H146" s="229" t="str">
        <f t="shared" si="27"/>
        <v>396442.1916295i</v>
      </c>
      <c r="I146" s="229">
        <f>IF('Small Signal'!$B$37&gt;=1,Q146+0,N146+0)</f>
        <v>-0.31532356020831215</v>
      </c>
      <c r="J146" s="229">
        <f>IF('Small Signal'!$B$37&gt;=1,R146,O146)</f>
        <v>-103.66557212400065</v>
      </c>
      <c r="K146" s="229">
        <f>IF('Small Signal'!$B$37&gt;=1,Z146+0,W146+0)</f>
        <v>-6.312011318302494</v>
      </c>
      <c r="L146" s="229">
        <f>IF('Small Signal'!$B$37&gt;=1,AA146,X146)</f>
        <v>60.56786448469666</v>
      </c>
      <c r="M146" s="229" t="str">
        <f>IMDIV(IMSUM('Small Signal'!$B$2*'Small Signal'!$B$16*'Small Signal'!$B$38,IMPRODUCT(H146,'Small Signal'!$B$2*'Small Signal'!$B$16*'Small Signal'!$B$38*'Small Signal'!$B$13*'Small Signal'!$B$14)),IMSUM(IMPRODUCT('Small Signal'!$B$11*'Small Signal'!$B$13*('Small Signal'!$B$14+'Small Signal'!$B$16),IMPOWER(H146,2)),IMSUM(IMPRODUCT(H146,('Small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-0.227831399995733-0.937048600913385i</v>
      </c>
      <c r="N146" s="229">
        <f t="shared" si="28"/>
        <v>-0.31532356020831215</v>
      </c>
      <c r="O146" s="229">
        <f t="shared" si="29"/>
        <v>-103.66557212400065</v>
      </c>
      <c r="P146" s="229" t="str">
        <f>IMDIV(IMSUM('Small Signal'!$B$48,IMPRODUCT(H146,'Small Signal'!$B$49)),IMSUM(IMPRODUCT('Small Signal'!$B$52,IMPOWER(H146,2)),IMSUM(IMPRODUCT(H146,'Small Signal'!$B$51),'Small Signal'!$B$50)))</f>
        <v>-0.853353957779523-0.370370652971632i</v>
      </c>
      <c r="Q146" s="229">
        <f t="shared" si="30"/>
        <v>-0.6278943348226095</v>
      </c>
      <c r="R146" s="229">
        <f t="shared" si="31"/>
        <v>-156.538306999448</v>
      </c>
      <c r="S146" s="229" t="str">
        <f>IMPRODUCT(IMDIV(IMSUM(IMPRODUCT(H146,'Small Signal'!$B$33*'Small Signal'!$B$6*'Small Signal'!$B$27*'Small Signal'!$B$7*'Small Signal'!$B$8),'Small Signal'!$B$33*'Small Signal'!$B$6*'Small Signal'!$B$27),IMSUM(IMSUM(IMPRODUCT(H146,('Small Signal'!$B$5+'Small Signal'!$B$6)*('Small Signal'!$B$32*'Small Signal'!$B$33)+'Small Signal'!$B$5*'Small Signal'!$B$33*('Small Signal'!$B$8+'Small Signal'!$B$9)+'Small Signal'!$B$6*'Small Signal'!$B$33*('Small Signal'!$B$8+'Small Signal'!$B$9)+'Small Signal'!$B$7*'Small Signal'!$B$8*('Small Signal'!$B$5+'Small Signal'!$B$6)),'Small Signal'!$B$6+'Small Signal'!$B$5),IMPRODUCT(IMPOWER(H146,2),'Small Signal'!$B$32*'Small Signal'!$B$33*'Small Signal'!$B$8*'Small Signal'!$B$7*('Small Signal'!$B$5+'Small Signal'!$B$6)+('Small Signal'!$B$5+'Small Signal'!$B$6)*('Small Signal'!$B$9*'Small Signal'!$B$8*'Small Signal'!$B$33*'Small Signal'!$B$7)))),-1)</f>
        <v>-0.482514894546361+0.136233869798686i</v>
      </c>
      <c r="T146" s="229">
        <f t="shared" si="32"/>
        <v>-5.996687758094183</v>
      </c>
      <c r="U146" s="229">
        <f t="shared" si="33"/>
        <v>164.23343660869733</v>
      </c>
      <c r="V146" s="229" t="str">
        <f t="shared" si="34"/>
        <v>0.237589801035166+0.421101553571466i</v>
      </c>
      <c r="W146" s="226">
        <f t="shared" si="35"/>
        <v>-6.312011318302494</v>
      </c>
      <c r="X146" s="229">
        <f t="shared" si="36"/>
        <v>60.56786448469666</v>
      </c>
      <c r="Y146" s="229" t="str">
        <f t="shared" si="37"/>
        <v>0.462213022262898+0.0624536445853449i</v>
      </c>
      <c r="Z146" s="226">
        <f t="shared" si="38"/>
        <v>-6.62458209291679</v>
      </c>
      <c r="AA146" s="229">
        <f t="shared" si="39"/>
        <v>7.695129609249337</v>
      </c>
    </row>
    <row r="147" spans="6:27" ht="12.75">
      <c r="F147" s="78">
        <v>145</v>
      </c>
      <c r="G147" s="229">
        <f>10^('Small Signal'!F147/30)</f>
        <v>68129.20690579616</v>
      </c>
      <c r="H147" s="229" t="str">
        <f t="shared" si="27"/>
        <v>428068.431820296i</v>
      </c>
      <c r="I147" s="229">
        <f>IF('Small Signal'!$B$37&gt;=1,Q147+0,N147+0)</f>
        <v>-1.068767914800867</v>
      </c>
      <c r="J147" s="229">
        <f>IF('Small Signal'!$B$37&gt;=1,R147,O147)</f>
        <v>-105.22491211749366</v>
      </c>
      <c r="K147" s="229">
        <f>IF('Small Signal'!$B$37&gt;=1,Z147+0,W147+0)</f>
        <v>-7.101011449031733</v>
      </c>
      <c r="L147" s="229">
        <f>IF('Small Signal'!$B$37&gt;=1,AA147,X147)</f>
        <v>58.29043192592072</v>
      </c>
      <c r="M147" s="229" t="str">
        <f>IMDIV(IMSUM('Small Signal'!$B$2*'Small Signal'!$B$16*'Small Signal'!$B$38,IMPRODUCT(H147,'Small Signal'!$B$2*'Small Signal'!$B$16*'Small Signal'!$B$38*'Small Signal'!$B$13*'Small Signal'!$B$14)),IMSUM(IMPRODUCT('Small Signal'!$B$11*'Small Signal'!$B$13*('Small Signal'!$B$14+'Small Signal'!$B$16),IMPOWER(H147,2)),IMSUM(IMPRODUCT(H147,('Small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-0.232204580669095-0.853188499152544i</v>
      </c>
      <c r="N147" s="229">
        <f t="shared" si="28"/>
        <v>-1.068767914800867</v>
      </c>
      <c r="O147" s="229">
        <f t="shared" si="29"/>
        <v>-105.22491211749366</v>
      </c>
      <c r="P147" s="229" t="str">
        <f>IMDIV(IMSUM('Small Signal'!$B$48,IMPRODUCT(H147,'Small Signal'!$B$49)),IMSUM(IMPRODUCT('Small Signal'!$B$52,IMPOWER(H147,2)),IMSUM(IMPRODUCT(H147,'Small Signal'!$B$51),'Small Signal'!$B$50)))</f>
        <v>-0.742576729630729-0.304338008701295i</v>
      </c>
      <c r="Q147" s="229">
        <f t="shared" si="30"/>
        <v>-1.9108592941400118</v>
      </c>
      <c r="R147" s="229">
        <f t="shared" si="31"/>
        <v>-157.71419544294164</v>
      </c>
      <c r="S147" s="229" t="str">
        <f>IMPRODUCT(IMDIV(IMSUM(IMPRODUCT(H147,'Small Signal'!$B$33*'Small Signal'!$B$6*'Small Signal'!$B$27*'Small Signal'!$B$7*'Small Signal'!$B$8),'Small Signal'!$B$33*'Small Signal'!$B$6*'Small Signal'!$B$27),IMSUM(IMSUM(IMPRODUCT(H147,('Small Signal'!$B$5+'Small Signal'!$B$6)*('Small Signal'!$B$32*'Small Signal'!$B$33)+'Small Signal'!$B$5*'Small Signal'!$B$33*('Small Signal'!$B$8+'Small Signal'!$B$9)+'Small Signal'!$B$6*'Small Signal'!$B$33*('Small Signal'!$B$8+'Small Signal'!$B$9)+'Small Signal'!$B$7*'Small Signal'!$B$8*('Small Signal'!$B$5+'Small Signal'!$B$6)),'Small Signal'!$B$6+'Small Signal'!$B$5),IMPRODUCT(IMPOWER(H147,2),'Small Signal'!$B$32*'Small Signal'!$B$33*'Small Signal'!$B$8*'Small Signal'!$B$7*('Small Signal'!$B$5+'Small Signal'!$B$6)+('Small Signal'!$B$5+'Small Signal'!$B$6)*('Small Signal'!$B$9*'Small Signal'!$B$8*'Small Signal'!$B$33*'Small Signal'!$B$7)))),-1)</f>
        <v>-0.478805600922246+0.141689214554592i</v>
      </c>
      <c r="T147" s="229">
        <f t="shared" si="32"/>
        <v>-6.0322435342308705</v>
      </c>
      <c r="U147" s="229">
        <f t="shared" si="33"/>
        <v>163.51534404341433</v>
      </c>
      <c r="V147" s="229" t="str">
        <f t="shared" si="34"/>
        <v>0.232068462096099+0.375610547385701i</v>
      </c>
      <c r="W147" s="226">
        <f t="shared" si="35"/>
        <v>-7.101011449031733</v>
      </c>
      <c r="X147" s="229">
        <f t="shared" si="36"/>
        <v>58.29043192592072</v>
      </c>
      <c r="Y147" s="229" t="str">
        <f t="shared" si="37"/>
        <v>0.398671310673712+0.0405036295718077i</v>
      </c>
      <c r="Z147" s="226">
        <f t="shared" si="38"/>
        <v>-7.9431028283708915</v>
      </c>
      <c r="AA147" s="229">
        <f t="shared" si="39"/>
        <v>5.801148600472699</v>
      </c>
    </row>
    <row r="148" spans="6:27" ht="12.75">
      <c r="F148" s="78">
        <v>146</v>
      </c>
      <c r="G148" s="229">
        <f>10^('Small Signal'!F148/30)</f>
        <v>73564.2254459642</v>
      </c>
      <c r="H148" s="229" t="str">
        <f t="shared" si="27"/>
        <v>462217.660456129i</v>
      </c>
      <c r="I148" s="229">
        <f>IF('Small Signal'!$B$37&gt;=1,Q148+0,N148+0)</f>
        <v>-1.8351712466384908</v>
      </c>
      <c r="J148" s="229">
        <f>IF('Small Signal'!$B$37&gt;=1,R148,O148)</f>
        <v>-106.82546714301924</v>
      </c>
      <c r="K148" s="229">
        <f>IF('Small Signal'!$B$37&gt;=1,Z148+0,W148+0)</f>
        <v>-7.907915826870717</v>
      </c>
      <c r="L148" s="229">
        <f>IF('Small Signal'!$B$37&gt;=1,AA148,X148)</f>
        <v>55.885921968735474</v>
      </c>
      <c r="M148" s="229" t="str">
        <f>IMDIV(IMSUM('Small Signal'!$B$2*'Small Signal'!$B$16*'Small Signal'!$B$38,IMPRODUCT(H148,'Small Signal'!$B$2*'Small Signal'!$B$16*'Small Signal'!$B$38*'Small Signal'!$B$13*'Small Signal'!$B$14)),IMSUM(IMPRODUCT('Small Signal'!$B$11*'Small Signal'!$B$13*('Small Signal'!$B$14+'Small Signal'!$B$16),IMPOWER(H148,2)),IMSUM(IMPRODUCT(H148,('Small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-0.234328935134305-0.774889923673196i</v>
      </c>
      <c r="N148" s="229">
        <f t="shared" si="28"/>
        <v>-1.8351712466384908</v>
      </c>
      <c r="O148" s="229">
        <f t="shared" si="29"/>
        <v>-106.82546714301924</v>
      </c>
      <c r="P148" s="229" t="str">
        <f>IMDIV(IMSUM('Small Signal'!$B$48,IMPRODUCT(H148,'Small Signal'!$B$49)),IMSUM(IMPRODUCT('Small Signal'!$B$52,IMPOWER(H148,2)),IMSUM(IMPRODUCT(H148,'Small Signal'!$B$51),'Small Signal'!$B$50)))</f>
        <v>-0.644898871776773-0.250493243814997i</v>
      </c>
      <c r="Q148" s="229">
        <f t="shared" si="30"/>
        <v>-3.199897217150638</v>
      </c>
      <c r="R148" s="229">
        <f t="shared" si="31"/>
        <v>-158.7727089418307</v>
      </c>
      <c r="S148" s="229" t="str">
        <f>IMPRODUCT(IMDIV(IMSUM(IMPRODUCT(H148,'Small Signal'!$B$33*'Small Signal'!$B$6*'Small Signal'!$B$27*'Small Signal'!$B$7*'Small Signal'!$B$8),'Small Signal'!$B$33*'Small Signal'!$B$6*'Small Signal'!$B$27),IMSUM(IMSUM(IMPRODUCT(H148,('Small Signal'!$B$5+'Small Signal'!$B$6)*('Small Signal'!$B$32*'Small Signal'!$B$33)+'Small Signal'!$B$5*'Small Signal'!$B$33*('Small Signal'!$B$8+'Small Signal'!$B$9)+'Small Signal'!$B$6*'Small Signal'!$B$33*('Small Signal'!$B$8+'Small Signal'!$B$9)+'Small Signal'!$B$7*'Small Signal'!$B$8*('Small Signal'!$B$5+'Small Signal'!$B$6)),'Small Signal'!$B$6+'Small Signal'!$B$5),IMPRODUCT(IMPOWER(H148,2),'Small Signal'!$B$32*'Small Signal'!$B$33*'Small Signal'!$B$8*'Small Signal'!$B$7*('Small Signal'!$B$5+'Small Signal'!$B$6)+('Small Signal'!$B$5+'Small Signal'!$B$6)*('Small Signal'!$B$9*'Small Signal'!$B$8*'Small Signal'!$B$33*'Small Signal'!$B$7)))),-1)</f>
        <v>-0.474552460183001+0.14770315695353i</v>
      </c>
      <c r="T148" s="229">
        <f t="shared" si="32"/>
        <v>-6.072744580232218</v>
      </c>
      <c r="U148" s="229">
        <f t="shared" si="33"/>
        <v>162.71138911175473</v>
      </c>
      <c r="V148" s="229" t="str">
        <f t="shared" si="34"/>
        <v>0.225655060678058+0.333114796165237i</v>
      </c>
      <c r="W148" s="226">
        <f t="shared" si="35"/>
        <v>-7.907915826870717</v>
      </c>
      <c r="X148" s="229">
        <f t="shared" si="36"/>
        <v>55.885921968735474</v>
      </c>
      <c r="Y148" s="229" t="str">
        <f t="shared" si="37"/>
        <v>0.343036989077915+0.023618585834428i</v>
      </c>
      <c r="Z148" s="226">
        <f t="shared" si="38"/>
        <v>-9.272641797382846</v>
      </c>
      <c r="AA148" s="229">
        <f t="shared" si="39"/>
        <v>3.938680169924004</v>
      </c>
    </row>
    <row r="149" spans="6:27" ht="12.75">
      <c r="F149" s="78">
        <v>147</v>
      </c>
      <c r="G149" s="229">
        <f>10^('Small Signal'!F149/30)</f>
        <v>79432.82347242824</v>
      </c>
      <c r="H149" s="229" t="str">
        <f t="shared" si="27"/>
        <v>499091.149349751i</v>
      </c>
      <c r="I149" s="229">
        <f>IF('Small Signal'!$B$37&gt;=1,Q149+0,N149+0)</f>
        <v>-2.6158308375687174</v>
      </c>
      <c r="J149" s="229">
        <f>IF('Small Signal'!$B$37&gt;=1,R149,O149)</f>
        <v>-108.46660503902183</v>
      </c>
      <c r="K149" s="229">
        <f>IF('Small Signal'!$B$37&gt;=1,Z149+0,W149+0)</f>
        <v>-8.734823107093725</v>
      </c>
      <c r="L149" s="229">
        <f>IF('Small Signal'!$B$37&gt;=1,AA149,X149)</f>
        <v>53.35286520893567</v>
      </c>
      <c r="M149" s="229" t="str">
        <f>IMDIV(IMSUM('Small Signal'!$B$2*'Small Signal'!$B$16*'Small Signal'!$B$38,IMPRODUCT(H149,'Small Signal'!$B$2*'Small Signal'!$B$16*'Small Signal'!$B$38*'Small Signal'!$B$13*'Small Signal'!$B$14)),IMSUM(IMPRODUCT('Small Signal'!$B$11*'Small Signal'!$B$13*('Small Signal'!$B$14+'Small Signal'!$B$16),IMPOWER(H149,2)),IMSUM(IMPRODUCT(H149,('Small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-0.234383829568238-0.701858648630215i</v>
      </c>
      <c r="N149" s="229">
        <f t="shared" si="28"/>
        <v>-2.6158308375687174</v>
      </c>
      <c r="O149" s="229">
        <f t="shared" si="29"/>
        <v>-108.46660503902183</v>
      </c>
      <c r="P149" s="229" t="str">
        <f>IMDIV(IMSUM('Small Signal'!$B$48,IMPRODUCT(H149,'Small Signal'!$B$49)),IMSUM(IMPRODUCT('Small Signal'!$B$52,IMPOWER(H149,2)),IMSUM(IMPRODUCT(H149,'Small Signal'!$B$51),'Small Signal'!$B$50)))</f>
        <v>-0.559106841652191-0.206625989156545i</v>
      </c>
      <c r="Q149" s="229">
        <f t="shared" si="30"/>
        <v>-4.494111978487662</v>
      </c>
      <c r="R149" s="229">
        <f t="shared" si="31"/>
        <v>-159.71748169395315</v>
      </c>
      <c r="S149" s="229" t="str">
        <f>IMPRODUCT(IMDIV(IMSUM(IMPRODUCT(H149,'Small Signal'!$B$33*'Small Signal'!$B$6*'Small Signal'!$B$27*'Small Signal'!$B$7*'Small Signal'!$B$8),'Small Signal'!$B$33*'Small Signal'!$B$6*'Small Signal'!$B$27),IMSUM(IMSUM(IMPRODUCT(H149,('Small Signal'!$B$5+'Small Signal'!$B$6)*('Small Signal'!$B$32*'Small Signal'!$B$33)+'Small Signal'!$B$5*'Small Signal'!$B$33*('Small Signal'!$B$8+'Small Signal'!$B$9)+'Small Signal'!$B$6*'Small Signal'!$B$33*('Small Signal'!$B$8+'Small Signal'!$B$9)+'Small Signal'!$B$7*'Small Signal'!$B$8*('Small Signal'!$B$5+'Small Signal'!$B$6)),'Small Signal'!$B$6+'Small Signal'!$B$5),IMPRODUCT(IMPOWER(H149,2),'Small Signal'!$B$32*'Small Signal'!$B$33*'Small Signal'!$B$8*'Small Signal'!$B$7*('Small Signal'!$B$5+'Small Signal'!$B$6)+('Small Signal'!$B$5+'Small Signal'!$B$6)*('Small Signal'!$B$9*'Small Signal'!$B$8*'Small Signal'!$B$33*'Small Signal'!$B$7)))),-1)</f>
        <v>-0.469688264981943+0.154248800923289i</v>
      </c>
      <c r="T149" s="229">
        <f t="shared" si="32"/>
        <v>-6.11899226952502</v>
      </c>
      <c r="U149" s="229">
        <f t="shared" si="33"/>
        <v>161.8194702479575</v>
      </c>
      <c r="V149" s="229" t="str">
        <f t="shared" si="34"/>
        <v>0.21834818921858+0.293501346270988i</v>
      </c>
      <c r="W149" s="226">
        <f t="shared" si="35"/>
        <v>-8.734823107093725</v>
      </c>
      <c r="X149" s="229">
        <f t="shared" si="36"/>
        <v>53.35286520893567</v>
      </c>
      <c r="Y149" s="229" t="str">
        <f t="shared" si="37"/>
        <v>0.294477733462137+0.0108082424342577i</v>
      </c>
      <c r="Z149" s="226">
        <f t="shared" si="38"/>
        <v>-10.613104248012684</v>
      </c>
      <c r="AA149" s="229">
        <f t="shared" si="39"/>
        <v>2.1019885540043406</v>
      </c>
    </row>
    <row r="150" spans="6:27" ht="12.75">
      <c r="F150" s="78">
        <v>148</v>
      </c>
      <c r="G150" s="229">
        <f>10^('Small Signal'!F150/30)</f>
        <v>85769.58985908954</v>
      </c>
      <c r="H150" s="229" t="str">
        <f t="shared" si="27"/>
        <v>538906.226805451i</v>
      </c>
      <c r="I150" s="229">
        <f>IF('Small Signal'!$B$37&gt;=1,Q150+0,N150+0)</f>
        <v>-3.4120952832824796</v>
      </c>
      <c r="J150" s="229">
        <f>IF('Small Signal'!$B$37&gt;=1,R150,O150)</f>
        <v>-110.14630331265077</v>
      </c>
      <c r="K150" s="229">
        <f>IF('Small Signal'!$B$37&gt;=1,Z150+0,W150+0)</f>
        <v>-9.583968831381807</v>
      </c>
      <c r="L150" s="229">
        <f>IF('Small Signal'!$B$37&gt;=1,AA150,X150)</f>
        <v>50.69126385630019</v>
      </c>
      <c r="M150" s="229" t="str">
        <f>IMDIV(IMSUM('Small Signal'!$B$2*'Small Signal'!$B$16*'Small Signal'!$B$38,IMPRODUCT(H150,'Small Signal'!$B$2*'Small Signal'!$B$16*'Small Signal'!$B$38*'Small Signal'!$B$13*'Small Signal'!$B$14)),IMSUM(IMPRODUCT('Small Signal'!$B$11*'Small Signal'!$B$13*('Small Signal'!$B$14+'Small Signal'!$B$16),IMPOWER(H150,2)),IMSUM(IMPRODUCT(H150,('Small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-0.232531458406795-0.633834419825141i</v>
      </c>
      <c r="N150" s="229">
        <f t="shared" si="28"/>
        <v>-3.4120952832824796</v>
      </c>
      <c r="O150" s="229">
        <f t="shared" si="29"/>
        <v>-110.14630331265077</v>
      </c>
      <c r="P150" s="229" t="str">
        <f>IMDIV(IMSUM('Small Signal'!$B$48,IMPRODUCT(H150,'Small Signal'!$B$49)),IMSUM(IMPRODUCT('Small Signal'!$B$52,IMPOWER(H150,2)),IMSUM(IMPRODUCT(H150,'Small Signal'!$B$51),'Small Signal'!$B$50)))</f>
        <v>-0.484006556833368-0.170901626972066i</v>
      </c>
      <c r="Q150" s="229">
        <f t="shared" si="30"/>
        <v>-5.792693013764387</v>
      </c>
      <c r="R150" s="229">
        <f t="shared" si="31"/>
        <v>-160.55198819154197</v>
      </c>
      <c r="S150" s="229" t="str">
        <f>IMPRODUCT(IMDIV(IMSUM(IMPRODUCT(H150,'Small Signal'!$B$33*'Small Signal'!$B$6*'Small Signal'!$B$27*'Small Signal'!$B$7*'Small Signal'!$B$8),'Small Signal'!$B$33*'Small Signal'!$B$6*'Small Signal'!$B$27),IMSUM(IMSUM(IMPRODUCT(H150,('Small Signal'!$B$5+'Small Signal'!$B$6)*('Small Signal'!$B$32*'Small Signal'!$B$33)+'Small Signal'!$B$5*'Small Signal'!$B$33*('Small Signal'!$B$8+'Small Signal'!$B$9)+'Small Signal'!$B$6*'Small Signal'!$B$33*('Small Signal'!$B$8+'Small Signal'!$B$9)+'Small Signal'!$B$7*'Small Signal'!$B$8*('Small Signal'!$B$5+'Small Signal'!$B$6)),'Small Signal'!$B$6+'Small Signal'!$B$5),IMPRODUCT(IMPOWER(H150,2),'Small Signal'!$B$32*'Small Signal'!$B$33*'Small Signal'!$B$8*'Small Signal'!$B$7*('Small Signal'!$B$5+'Small Signal'!$B$6)+('Small Signal'!$B$5+'Small Signal'!$B$6)*('Small Signal'!$B$9*'Small Signal'!$B$8*'Small Signal'!$B$33*'Small Signal'!$B$7)))),-1)</f>
        <v>-0.464141596401422+0.161290053421259i</v>
      </c>
      <c r="T150" s="229">
        <f t="shared" si="32"/>
        <v>-6.171873548099321</v>
      </c>
      <c r="U150" s="229">
        <f t="shared" si="33"/>
        <v>160.8375671689509</v>
      </c>
      <c r="V150" s="229" t="str">
        <f t="shared" si="34"/>
        <v>0.21015870975231+0.256683908123255i</v>
      </c>
      <c r="W150" s="226">
        <f t="shared" si="35"/>
        <v>-9.583968831381807</v>
      </c>
      <c r="X150" s="229">
        <f t="shared" si="36"/>
        <v>50.69126385630019</v>
      </c>
      <c r="Y150" s="229" t="str">
        <f t="shared" si="37"/>
        <v>0.2522123085015+0.00125711056252149i</v>
      </c>
      <c r="Z150" s="226">
        <f t="shared" si="38"/>
        <v>-11.964566561863696</v>
      </c>
      <c r="AA150" s="229">
        <f t="shared" si="39"/>
        <v>0.2855789774089317</v>
      </c>
    </row>
    <row r="151" spans="6:27" ht="12.75">
      <c r="F151" s="78">
        <v>149</v>
      </c>
      <c r="G151" s="229">
        <f>10^('Small Signal'!F151/30)</f>
        <v>92611.8728128795</v>
      </c>
      <c r="H151" s="229" t="str">
        <f t="shared" si="27"/>
        <v>581897.558528269i</v>
      </c>
      <c r="I151" s="229">
        <f>IF('Small Signal'!$B$37&gt;=1,Q151+0,N151+0)</f>
        <v>-4.225334804020109</v>
      </c>
      <c r="J151" s="229">
        <f>IF('Small Signal'!$B$37&gt;=1,R151,O151)</f>
        <v>-111.86100798338403</v>
      </c>
      <c r="K151" s="229">
        <f>IF('Small Signal'!$B$37&gt;=1,Z151+0,W151+0)</f>
        <v>-10.457701416302784</v>
      </c>
      <c r="L151" s="229">
        <f>IF('Small Signal'!$B$37&gt;=1,AA151,X151)</f>
        <v>47.902834463952516</v>
      </c>
      <c r="M151" s="229" t="str">
        <f>IMDIV(IMSUM('Small Signal'!$B$2*'Small Signal'!$B$16*'Small Signal'!$B$38,IMPRODUCT(H151,'Small Signal'!$B$2*'Small Signal'!$B$16*'Small Signal'!$B$38*'Small Signal'!$B$13*'Small Signal'!$B$14)),IMSUM(IMPRODUCT('Small Signal'!$B$11*'Small Signal'!$B$13*('Small Signal'!$B$14+'Small Signal'!$B$16),IMPOWER(H151,2)),IMSUM(IMPRODUCT(H151,('Small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-0.228924317457007-0.570588866149942i</v>
      </c>
      <c r="N151" s="229">
        <f t="shared" si="28"/>
        <v>-4.225334804020109</v>
      </c>
      <c r="O151" s="229">
        <f t="shared" si="29"/>
        <v>-111.86100798338403</v>
      </c>
      <c r="P151" s="229" t="str">
        <f>IMDIV(IMSUM('Small Signal'!$B$48,IMPRODUCT(H151,'Small Signal'!$B$49)),IMSUM(IMPRODUCT('Small Signal'!$B$52,IMPOWER(H151,2)),IMSUM(IMPRODUCT(H151,'Small Signal'!$B$51),'Small Signal'!$B$50)))</f>
        <v>-0.418454713176211-0.141806158602896i</v>
      </c>
      <c r="Q151" s="229">
        <f t="shared" si="30"/>
        <v>-7.094905221720054</v>
      </c>
      <c r="R151" s="229">
        <f t="shared" si="31"/>
        <v>-161.2794804739244</v>
      </c>
      <c r="S151" s="229" t="str">
        <f>IMPRODUCT(IMDIV(IMSUM(IMPRODUCT(H151,'Small Signal'!$B$33*'Small Signal'!$B$6*'Small Signal'!$B$27*'Small Signal'!$B$7*'Small Signal'!$B$8),'Small Signal'!$B$33*'Small Signal'!$B$6*'Small Signal'!$B$27),IMSUM(IMSUM(IMPRODUCT(H151,('Small Signal'!$B$5+'Small Signal'!$B$6)*('Small Signal'!$B$32*'Small Signal'!$B$33)+'Small Signal'!$B$5*'Small Signal'!$B$33*('Small Signal'!$B$8+'Small Signal'!$B$9)+'Small Signal'!$B$6*'Small Signal'!$B$33*('Small Signal'!$B$8+'Small Signal'!$B$9)+'Small Signal'!$B$7*'Small Signal'!$B$8*('Small Signal'!$B$5+'Small Signal'!$B$6)),'Small Signal'!$B$6+'Small Signal'!$B$5),IMPRODUCT(IMPOWER(H151,2),'Small Signal'!$B$32*'Small Signal'!$B$33*'Small Signal'!$B$8*'Small Signal'!$B$7*('Small Signal'!$B$5+'Small Signal'!$B$6)+('Small Signal'!$B$5+'Small Signal'!$B$6)*('Small Signal'!$B$9*'Small Signal'!$B$8*'Small Signal'!$B$33*'Small Signal'!$B$7)))),-1)</f>
        <v>-0.45783794274979+0.168779679231916i</v>
      </c>
      <c r="T151" s="229">
        <f t="shared" si="32"/>
        <v>-6.232366612282684</v>
      </c>
      <c r="U151" s="229">
        <f t="shared" si="33"/>
        <v>159.76384244733654</v>
      </c>
      <c r="V151" s="229" t="str">
        <f t="shared" si="34"/>
        <v>0.201114044352006+0.222599459765246i</v>
      </c>
      <c r="W151" s="226">
        <f t="shared" si="35"/>
        <v>-10.457701416302784</v>
      </c>
      <c r="X151" s="229">
        <f t="shared" si="36"/>
        <v>47.902834463952516</v>
      </c>
      <c r="Y151" s="229" t="str">
        <f t="shared" si="37"/>
        <v>0.215518442976657-0.00570241233896397i</v>
      </c>
      <c r="Z151" s="226">
        <f t="shared" si="38"/>
        <v>-13.327271834002731</v>
      </c>
      <c r="AA151" s="229">
        <f t="shared" si="39"/>
        <v>-1.5156380265878693</v>
      </c>
    </row>
    <row r="152" spans="6:27" ht="12.75">
      <c r="F152" s="78">
        <v>150</v>
      </c>
      <c r="G152" s="229">
        <f>10^('Small Signal'!F152/30)</f>
        <v>100000</v>
      </c>
      <c r="H152" s="229" t="str">
        <f t="shared" si="27"/>
        <v>628318.530717959i</v>
      </c>
      <c r="I152" s="229">
        <f>IF('Small Signal'!$B$37&gt;=1,Q152+0,N152+0)</f>
        <v>-5.0569048609613</v>
      </c>
      <c r="J152" s="229">
        <f>IF('Small Signal'!$B$37&gt;=1,R152,O152)</f>
        <v>-113.60552046931237</v>
      </c>
      <c r="K152" s="229">
        <f>IF('Small Signal'!$B$37&gt;=1,Z152+0,W152+0)</f>
        <v>-11.358449523152942</v>
      </c>
      <c r="L152" s="229">
        <f>IF('Small Signal'!$B$37&gt;=1,AA152,X152)</f>
        <v>44.99123887697313</v>
      </c>
      <c r="M152" s="229" t="str">
        <f>IMDIV(IMSUM('Small Signal'!$B$2*'Small Signal'!$B$16*'Small Signal'!$B$38,IMPRODUCT(H152,'Small Signal'!$B$2*'Small Signal'!$B$16*'Small Signal'!$B$38*'Small Signal'!$B$13*'Small Signal'!$B$14)),IMSUM(IMPRODUCT('Small Signal'!$B$11*'Small Signal'!$B$13*('Small Signal'!$B$14+'Small Signal'!$B$16),IMPOWER(H152,2)),IMSUM(IMPRODUCT(H152,('Small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-0.223712013094709-0.511922113714757i</v>
      </c>
      <c r="N152" s="229">
        <f t="shared" si="28"/>
        <v>-5.0569048609613</v>
      </c>
      <c r="O152" s="229">
        <f t="shared" si="29"/>
        <v>-113.60552046931237</v>
      </c>
      <c r="P152" s="229" t="str">
        <f>IMDIV(IMSUM('Small Signal'!$B$48,IMPRODUCT(H152,'Small Signal'!$B$49)),IMSUM(IMPRODUCT('Small Signal'!$B$52,IMPOWER(H152,2)),IMSUM(IMPRODUCT(H152,'Small Signal'!$B$51),'Small Signal'!$B$50)))</f>
        <v>-0.361378788605547-0.118096281850183i</v>
      </c>
      <c r="Q152" s="229">
        <f t="shared" si="30"/>
        <v>-8.400078613654054</v>
      </c>
      <c r="R152" s="229">
        <f t="shared" si="31"/>
        <v>-161.90293844512632</v>
      </c>
      <c r="S152" s="229" t="str">
        <f>IMPRODUCT(IMDIV(IMSUM(IMPRODUCT(H152,'Small Signal'!$B$33*'Small Signal'!$B$6*'Small Signal'!$B$27*'Small Signal'!$B$7*'Small Signal'!$B$8),'Small Signal'!$B$33*'Small Signal'!$B$6*'Small Signal'!$B$27),IMSUM(IMSUM(IMPRODUCT(H152,('Small Signal'!$B$5+'Small Signal'!$B$6)*('Small Signal'!$B$32*'Small Signal'!$B$33)+'Small Signal'!$B$5*'Small Signal'!$B$33*('Small Signal'!$B$8+'Small Signal'!$B$9)+'Small Signal'!$B$6*'Small Signal'!$B$33*('Small Signal'!$B$8+'Small Signal'!$B$9)+'Small Signal'!$B$7*'Small Signal'!$B$8*('Small Signal'!$B$5+'Small Signal'!$B$6)),'Small Signal'!$B$6+'Small Signal'!$B$5),IMPRODUCT(IMPOWER(H152,2),'Small Signal'!$B$32*'Small Signal'!$B$33*'Small Signal'!$B$8*'Small Signal'!$B$7*('Small Signal'!$B$5+'Small Signal'!$B$6)+('Small Signal'!$B$5+'Small Signal'!$B$6)*('Small Signal'!$B$9*'Small Signal'!$B$8*'Small Signal'!$B$33*'Small Signal'!$B$7)))),-1)</f>
        <v>-0.450701347945516+0.176657334275433i</v>
      </c>
      <c r="T152" s="229">
        <f t="shared" si="32"/>
        <v>-6.3015446621916436</v>
      </c>
      <c r="U152" s="229">
        <f t="shared" si="33"/>
        <v>158.5967593462854</v>
      </c>
      <c r="V152" s="229" t="str">
        <f t="shared" si="34"/>
        <v>0.191262101818884+0.191203618815657i</v>
      </c>
      <c r="W152" s="226">
        <f t="shared" si="35"/>
        <v>-11.358449523152942</v>
      </c>
      <c r="X152" s="229">
        <f t="shared" si="36"/>
        <v>44.99123887697313</v>
      </c>
      <c r="Y152" s="229" t="str">
        <f t="shared" si="37"/>
        <v>0.183736481482931-0.0106140600415101i</v>
      </c>
      <c r="Z152" s="226">
        <f t="shared" si="38"/>
        <v>-14.701623275845709</v>
      </c>
      <c r="AA152" s="229">
        <f t="shared" si="39"/>
        <v>-3.3061790988409263</v>
      </c>
    </row>
    <row r="153" spans="6:27" ht="12.75">
      <c r="F153" s="78">
        <v>151</v>
      </c>
      <c r="G153" s="229">
        <f>10^('Small Signal'!F153/30)</f>
        <v>107977.51623277101</v>
      </c>
      <c r="H153" s="229" t="str">
        <f t="shared" si="27"/>
        <v>678442.743499492i</v>
      </c>
      <c r="I153" s="229">
        <f>IF('Small Signal'!$B$37&gt;=1,Q153+0,N153+0)</f>
        <v>-5.90810366227039</v>
      </c>
      <c r="J153" s="229">
        <f>IF('Small Signal'!$B$37&gt;=1,R153,O153)</f>
        <v>-115.37292665217807</v>
      </c>
      <c r="K153" s="229">
        <f>IF('Small Signal'!$B$37&gt;=1,Z153+0,W153+0)</f>
        <v>-12.288680651358737</v>
      </c>
      <c r="L153" s="229">
        <f>IF('Small Signal'!$B$37&gt;=1,AA153,X153)</f>
        <v>41.962288956497616</v>
      </c>
      <c r="M153" s="229" t="str">
        <f>IMDIV(IMSUM('Small Signal'!$B$2*'Small Signal'!$B$16*'Small Signal'!$B$38,IMPRODUCT(H153,'Small Signal'!$B$2*'Small Signal'!$B$16*'Small Signal'!$B$38*'Small Signal'!$B$13*'Small Signal'!$B$14)),IMSUM(IMPRODUCT('Small Signal'!$B$11*'Small Signal'!$B$13*('Small Signal'!$B$14+'Small Signal'!$B$16),IMPOWER(H153,2)),IMSUM(IMPRODUCT(H153,('Small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-0.217047104687197-0.457658125795043i</v>
      </c>
      <c r="N153" s="229">
        <f t="shared" si="28"/>
        <v>-5.90810366227039</v>
      </c>
      <c r="O153" s="229">
        <f t="shared" si="29"/>
        <v>-115.37292665217807</v>
      </c>
      <c r="P153" s="229" t="str">
        <f>IMDIV(IMSUM('Small Signal'!$B$48,IMPRODUCT(H153,'Small Signal'!$B$49)),IMSUM(IMPRODUCT('Small Signal'!$B$52,IMPOWER(H153,2)),IMSUM(IMPRODUCT(H153,'Small Signal'!$B$51),'Small Signal'!$B$50)))</f>
        <v>-0.311788453413559-0.0987552214173832i</v>
      </c>
      <c r="Q153" s="229">
        <f t="shared" si="30"/>
        <v>-9.707597927926365</v>
      </c>
      <c r="R153" s="229">
        <f t="shared" si="31"/>
        <v>-162.42503165834876</v>
      </c>
      <c r="S153" s="229" t="str">
        <f>IMPRODUCT(IMDIV(IMSUM(IMPRODUCT(H153,'Small Signal'!$B$33*'Small Signal'!$B$6*'Small Signal'!$B$27*'Small Signal'!$B$7*'Small Signal'!$B$8),'Small Signal'!$B$33*'Small Signal'!$B$6*'Small Signal'!$B$27),IMSUM(IMSUM(IMPRODUCT(H153,('Small Signal'!$B$5+'Small Signal'!$B$6)*('Small Signal'!$B$32*'Small Signal'!$B$33)+'Small Signal'!$B$5*'Small Signal'!$B$33*('Small Signal'!$B$8+'Small Signal'!$B$9)+'Small Signal'!$B$6*'Small Signal'!$B$33*('Small Signal'!$B$8+'Small Signal'!$B$9)+'Small Signal'!$B$7*'Small Signal'!$B$8*('Small Signal'!$B$5+'Small Signal'!$B$6)),'Small Signal'!$B$6+'Small Signal'!$B$5),IMPRODUCT(IMPOWER(H153,2),'Small Signal'!$B$32*'Small Signal'!$B$33*'Small Signal'!$B$8*'Small Signal'!$B$7*('Small Signal'!$B$5+'Small Signal'!$B$6)+('Small Signal'!$B$5+'Small Signal'!$B$6)*('Small Signal'!$B$9*'Small Signal'!$B$8*'Small Signal'!$B$33*'Small Signal'!$B$7)))),-1)</f>
        <v>-0.442656677026345+0.184847704533985i</v>
      </c>
      <c r="T153" s="229">
        <f t="shared" si="32"/>
        <v>-6.38057698908834</v>
      </c>
      <c r="U153" s="229">
        <f t="shared" si="33"/>
        <v>157.33521560867558</v>
      </c>
      <c r="V153" s="229" t="str">
        <f t="shared" si="34"/>
        <v>0.180674404133563+0.162464766101363i</v>
      </c>
      <c r="W153" s="226">
        <f t="shared" si="35"/>
        <v>-12.288680651358737</v>
      </c>
      <c r="X153" s="229">
        <f t="shared" si="36"/>
        <v>41.962288956497616</v>
      </c>
      <c r="Y153" s="229" t="str">
        <f t="shared" si="37"/>
        <v>0.156269916712978-0.0139187217620779i</v>
      </c>
      <c r="Z153" s="226">
        <f t="shared" si="38"/>
        <v>-16.08817491701471</v>
      </c>
      <c r="AA153" s="229">
        <f t="shared" si="39"/>
        <v>-5.089816049673146</v>
      </c>
    </row>
    <row r="154" spans="6:27" ht="12.75">
      <c r="F154" s="78">
        <v>152</v>
      </c>
      <c r="G154" s="229">
        <f>10^('Small Signal'!F154/30)</f>
        <v>116591.44011798326</v>
      </c>
      <c r="H154" s="229" t="str">
        <f t="shared" si="27"/>
        <v>732565.623492221i</v>
      </c>
      <c r="I154" s="229">
        <f>IF('Small Signal'!$B$37&gt;=1,Q154+0,N154+0)</f>
        <v>-6.780124877760335</v>
      </c>
      <c r="J154" s="229">
        <f>IF('Small Signal'!$B$37&gt;=1,R154,O154)</f>
        <v>-117.15458205248935</v>
      </c>
      <c r="K154" s="229">
        <f>IF('Small Signal'!$B$37&gt;=1,Z154+0,W154+0)</f>
        <v>-13.25085142853245</v>
      </c>
      <c r="L154" s="229">
        <f>IF('Small Signal'!$B$37&gt;=1,AA154,X154)</f>
        <v>38.82410953808266</v>
      </c>
      <c r="M154" s="229" t="str">
        <f>IMDIV(IMSUM('Small Signal'!$B$2*'Small Signal'!$B$16*'Small Signal'!$B$38,IMPRODUCT(H154,'Small Signal'!$B$2*'Small Signal'!$B$16*'Small Signal'!$B$38*'Small Signal'!$B$13*'Small Signal'!$B$14)),IMSUM(IMPRODUCT('Small Signal'!$B$11*'Small Signal'!$B$13*('Small Signal'!$B$14+'Small Signal'!$B$16),IMPOWER(H154,2)),IMSUM(IMPRODUCT(H154,('Small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-0.209089629279395-0.407638908901182i</v>
      </c>
      <c r="N154" s="229">
        <f t="shared" si="28"/>
        <v>-6.780124877760335</v>
      </c>
      <c r="O154" s="229">
        <f t="shared" si="29"/>
        <v>-117.15458205248935</v>
      </c>
      <c r="P154" s="229" t="str">
        <f>IMDIV(IMSUM('Small Signal'!$B$48,IMPRODUCT(H154,'Small Signal'!$B$49)),IMSUM(IMPRODUCT('Small Signal'!$B$52,IMPOWER(H154,2)),IMSUM(IMPRODUCT(H154,'Small Signal'!$B$51),'Small Signal'!$B$50)))</f>
        <v>-0.268780646913479-0.0829543549827325i</v>
      </c>
      <c r="Q154" s="229">
        <f t="shared" si="30"/>
        <v>-11.016892344912232</v>
      </c>
      <c r="R154" s="229">
        <f t="shared" si="31"/>
        <v>-162.84809107063583</v>
      </c>
      <c r="S154" s="229" t="str">
        <f>IMPRODUCT(IMDIV(IMSUM(IMPRODUCT(H154,'Small Signal'!$B$33*'Small Signal'!$B$6*'Small Signal'!$B$27*'Small Signal'!$B$7*'Small Signal'!$B$8),'Small Signal'!$B$33*'Small Signal'!$B$6*'Small Signal'!$B$27),IMSUM(IMSUM(IMPRODUCT(H154,('Small Signal'!$B$5+'Small Signal'!$B$6)*('Small Signal'!$B$32*'Small Signal'!$B$33)+'Small Signal'!$B$5*'Small Signal'!$B$33*('Small Signal'!$B$8+'Small Signal'!$B$9)+'Small Signal'!$B$6*'Small Signal'!$B$33*('Small Signal'!$B$8+'Small Signal'!$B$9)+'Small Signal'!$B$7*'Small Signal'!$B$8*('Small Signal'!$B$5+'Small Signal'!$B$6)),'Small Signal'!$B$6+'Small Signal'!$B$5),IMPRODUCT(IMPOWER(H154,2),'Small Signal'!$B$32*'Small Signal'!$B$33*'Small Signal'!$B$8*'Small Signal'!$B$7*('Small Signal'!$B$5+'Small Signal'!$B$6)+('Small Signal'!$B$5+'Small Signal'!$B$6)*('Small Signal'!$B$9*'Small Signal'!$B$8*'Small Signal'!$B$33*'Small Signal'!$B$7)))),-1)</f>
        <v>-0.433632563461594+0.193258925003843i</v>
      </c>
      <c r="T154" s="229">
        <f t="shared" si="32"/>
        <v>-6.47072655077211</v>
      </c>
      <c r="U154" s="229">
        <f t="shared" si="33"/>
        <v>155.9786915905719</v>
      </c>
      <c r="V154" s="229" t="str">
        <f t="shared" si="34"/>
        <v>0.16944792926164+0.136357068049519i</v>
      </c>
      <c r="W154" s="226">
        <f t="shared" si="35"/>
        <v>-13.25085142853245</v>
      </c>
      <c r="X154" s="229">
        <f t="shared" si="36"/>
        <v>38.82410953808266</v>
      </c>
      <c r="Y154" s="229" t="str">
        <f t="shared" si="37"/>
        <v>0.132583710398308-0.0159725492828711i</v>
      </c>
      <c r="Z154" s="226">
        <f t="shared" si="38"/>
        <v>-17.487618895684314</v>
      </c>
      <c r="AA154" s="229">
        <f t="shared" si="39"/>
        <v>-6.8693994800638825</v>
      </c>
    </row>
    <row r="155" spans="6:27" ht="12.75">
      <c r="F155" s="78">
        <v>153</v>
      </c>
      <c r="G155" s="229">
        <f>10^('Small Signal'!F155/30)</f>
        <v>125892.54117941685</v>
      </c>
      <c r="H155" s="229" t="str">
        <f t="shared" si="27"/>
        <v>791006.165022013i</v>
      </c>
      <c r="I155" s="229">
        <f>IF('Small Signal'!$B$37&gt;=1,Q155+0,N155+0)</f>
        <v>-7.6740076534081005</v>
      </c>
      <c r="J155" s="229">
        <f>IF('Small Signal'!$B$37&gt;=1,R155,O155)</f>
        <v>-118.94016500331652</v>
      </c>
      <c r="K155" s="229">
        <f>IF('Small Signal'!$B$37&gt;=1,Z155+0,W155+0)</f>
        <v>-14.247350781703174</v>
      </c>
      <c r="L155" s="229">
        <f>IF('Small Signal'!$B$37&gt;=1,AA155,X155)</f>
        <v>35.58724440371025</v>
      </c>
      <c r="M155" s="229" t="str">
        <f>IMDIV(IMSUM('Small Signal'!$B$2*'Small Signal'!$B$16*'Small Signal'!$B$38,IMPRODUCT(H155,'Small Signal'!$B$2*'Small Signal'!$B$16*'Small Signal'!$B$38*'Small Signal'!$B$13*'Small Signal'!$B$14)),IMSUM(IMPRODUCT('Small Signal'!$B$11*'Small Signal'!$B$13*('Small Signal'!$B$14+'Small Signal'!$B$16),IMPOWER(H155,2)),IMSUM(IMPRODUCT(H155,('Small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-0.20000996194664-0.361717873261309i</v>
      </c>
      <c r="N155" s="229">
        <f t="shared" si="28"/>
        <v>-7.6740076534081005</v>
      </c>
      <c r="O155" s="229">
        <f t="shared" si="29"/>
        <v>-118.94016500331652</v>
      </c>
      <c r="P155" s="229" t="str">
        <f>IMDIV(IMSUM('Small Signal'!$B$48,IMPRODUCT(H155,'Small Signal'!$B$49)),IMSUM(IMPRODUCT('Small Signal'!$B$52,IMPOWER(H155,2)),IMSUM(IMPRODUCT(H155,'Small Signal'!$B$51),'Small Signal'!$B$50)))</f>
        <v>-0.231540139660971-0.070020357935042i</v>
      </c>
      <c r="Q155" s="229">
        <f t="shared" si="30"/>
        <v>-12.327425372291021</v>
      </c>
      <c r="R155" s="229">
        <f t="shared" si="31"/>
        <v>-163.1740894591397</v>
      </c>
      <c r="S155" s="229" t="str">
        <f>IMPRODUCT(IMDIV(IMSUM(IMPRODUCT(H155,'Small Signal'!$B$33*'Small Signal'!$B$6*'Small Signal'!$B$27*'Small Signal'!$B$7*'Small Signal'!$B$8),'Small Signal'!$B$33*'Small Signal'!$B$6*'Small Signal'!$B$27),IMSUM(IMSUM(IMPRODUCT(H155,('Small Signal'!$B$5+'Small Signal'!$B$6)*('Small Signal'!$B$32*'Small Signal'!$B$33)+'Small Signal'!$B$5*'Small Signal'!$B$33*('Small Signal'!$B$8+'Small Signal'!$B$9)+'Small Signal'!$B$6*'Small Signal'!$B$33*('Small Signal'!$B$8+'Small Signal'!$B$9)+'Small Signal'!$B$7*'Small Signal'!$B$8*('Small Signal'!$B$5+'Small Signal'!$B$6)),'Small Signal'!$B$6+'Small Signal'!$B$5),IMPRODUCT(IMPOWER(H155,2),'Small Signal'!$B$32*'Small Signal'!$B$33*'Small Signal'!$B$8*'Small Signal'!$B$7*('Small Signal'!$B$5+'Small Signal'!$B$6)+('Small Signal'!$B$5+'Small Signal'!$B$6)*('Small Signal'!$B$9*'Small Signal'!$B$8*'Small Signal'!$B$33*'Small Signal'!$B$7)))),-1)</f>
        <v>-0.423565059612728+0.201781500976426i</v>
      </c>
      <c r="T155" s="229">
        <f t="shared" si="32"/>
        <v>-6.5733431282950985</v>
      </c>
      <c r="U155" s="229">
        <f t="shared" si="33"/>
        <v>154.5274094070268</v>
      </c>
      <c r="V155" s="229" t="str">
        <f t="shared" si="34"/>
        <v>0.157705206851736+0.112852742219085i</v>
      </c>
      <c r="W155" s="226">
        <f t="shared" si="35"/>
        <v>-14.247350781703174</v>
      </c>
      <c r="X155" s="229">
        <f t="shared" si="36"/>
        <v>35.58724440371025</v>
      </c>
      <c r="Y155" s="229" t="str">
        <f t="shared" si="37"/>
        <v>0.112201125981278-0.0170623398342214i</v>
      </c>
      <c r="Z155" s="226">
        <f t="shared" si="38"/>
        <v>-18.900768500586114</v>
      </c>
      <c r="AA155" s="229">
        <f t="shared" si="39"/>
        <v>-8.646680052112893</v>
      </c>
    </row>
    <row r="156" spans="6:27" ht="12.75">
      <c r="F156" s="78">
        <v>154</v>
      </c>
      <c r="G156" s="229">
        <f>10^('Small Signal'!F156/30)</f>
        <v>135935.63908785273</v>
      </c>
      <c r="H156" s="229" t="str">
        <f t="shared" si="27"/>
        <v>854108.810238863i</v>
      </c>
      <c r="I156" s="229">
        <f>IF('Small Signal'!$B$37&gt;=1,Q156+0,N156+0)</f>
        <v>-8.59058670869962</v>
      </c>
      <c r="J156" s="229">
        <f>IF('Small Signal'!$B$37&gt;=1,R156,O156)</f>
        <v>-120.71780561635127</v>
      </c>
      <c r="K156" s="229">
        <f>IF('Small Signal'!$B$37&gt;=1,Z156+0,W156+0)</f>
        <v>-15.28043787826171</v>
      </c>
      <c r="L156" s="229">
        <f>IF('Small Signal'!$B$37&gt;=1,AA156,X156)</f>
        <v>32.26469202760015</v>
      </c>
      <c r="M156" s="229" t="str">
        <f>IMDIV(IMSUM('Small Signal'!$B$2*'Small Signal'!$B$16*'Small Signal'!$B$38,IMPRODUCT(H156,'Small Signal'!$B$2*'Small Signal'!$B$16*'Small Signal'!$B$38*'Small Signal'!$B$13*'Small Signal'!$B$14)),IMSUM(IMPRODUCT('Small Signal'!$B$11*'Small Signal'!$B$13*('Small Signal'!$B$14+'Small Signal'!$B$16),IMPOWER(H156,2)),IMSUM(IMPRODUCT(H156,('Small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-0.189989738936674-0.319752790471048i</v>
      </c>
      <c r="N156" s="229">
        <f t="shared" si="28"/>
        <v>-8.59058670869962</v>
      </c>
      <c r="O156" s="229">
        <f t="shared" si="29"/>
        <v>-120.71780561635127</v>
      </c>
      <c r="P156" s="229" t="str">
        <f>IMDIV(IMSUM('Small Signal'!$B$48,IMPRODUCT(H156,'Small Signal'!$B$49)),IMSUM(IMPRODUCT('Small Signal'!$B$52,IMPOWER(H156,2)),IMSUM(IMPRODUCT(H156,'Small Signal'!$B$51),'Small Signal'!$B$50)))</f>
        <v>-0.199337006455668-0.0594074053983894i</v>
      </c>
      <c r="Q156" s="229">
        <f t="shared" si="30"/>
        <v>-13.638684920818196</v>
      </c>
      <c r="R156" s="229">
        <f t="shared" si="31"/>
        <v>-163.40462943299664</v>
      </c>
      <c r="S156" s="229" t="str">
        <f>IMPRODUCT(IMDIV(IMSUM(IMPRODUCT(H156,'Small Signal'!$B$33*'Small Signal'!$B$6*'Small Signal'!$B$27*'Small Signal'!$B$7*'Small Signal'!$B$8),'Small Signal'!$B$33*'Small Signal'!$B$6*'Small Signal'!$B$27),IMSUM(IMSUM(IMPRODUCT(H156,('Small Signal'!$B$5+'Small Signal'!$B$6)*('Small Signal'!$B$32*'Small Signal'!$B$33)+'Small Signal'!$B$5*'Small Signal'!$B$33*('Small Signal'!$B$8+'Small Signal'!$B$9)+'Small Signal'!$B$6*'Small Signal'!$B$33*('Small Signal'!$B$8+'Small Signal'!$B$9)+'Small Signal'!$B$7*'Small Signal'!$B$8*('Small Signal'!$B$5+'Small Signal'!$B$6)),'Small Signal'!$B$6+'Small Signal'!$B$5),IMPRODUCT(IMPOWER(H156,2),'Small Signal'!$B$32*'Small Signal'!$B$33*'Small Signal'!$B$8*'Small Signal'!$B$7*('Small Signal'!$B$5+'Small Signal'!$B$6)+('Small Signal'!$B$5+'Small Signal'!$B$6)*('Small Signal'!$B$9*'Small Signal'!$B$8*'Small Signal'!$B$33*'Small Signal'!$B$7)))),-1)</f>
        <v>-0.412401943782986+0.21028799436818i</v>
      </c>
      <c r="T156" s="229">
        <f t="shared" si="32"/>
        <v>-6.68985116956209</v>
      </c>
      <c r="U156" s="229">
        <f t="shared" si="33"/>
        <v>152.9824976439514</v>
      </c>
      <c r="V156" s="229" t="str">
        <f t="shared" si="34"/>
        <v>0.145592310638092+0.0919141111687667i</v>
      </c>
      <c r="W156" s="226">
        <f t="shared" si="35"/>
        <v>-15.28043787826171</v>
      </c>
      <c r="X156" s="229">
        <f t="shared" si="36"/>
        <v>32.26469202760015</v>
      </c>
      <c r="Y156" s="229" t="str">
        <f t="shared" si="37"/>
        <v>0.0946996330620438-0.0174184498295197i</v>
      </c>
      <c r="Z156" s="226">
        <f t="shared" si="38"/>
        <v>-20.328536090380286</v>
      </c>
      <c r="AA156" s="229">
        <f t="shared" si="39"/>
        <v>-10.422131789045222</v>
      </c>
    </row>
    <row r="157" spans="6:27" ht="12.75">
      <c r="F157" s="78">
        <v>155</v>
      </c>
      <c r="G157" s="229">
        <f>10^('Small Signal'!F157/30)</f>
        <v>146779.92676220718</v>
      </c>
      <c r="H157" s="229" t="str">
        <f t="shared" si="27"/>
        <v>922245.479221196i</v>
      </c>
      <c r="I157" s="229">
        <f>IF('Small Signal'!$B$37&gt;=1,Q157+0,N157+0)</f>
        <v>-9.530445772185411</v>
      </c>
      <c r="J157" s="229">
        <f>IF('Small Signal'!$B$37&gt;=1,R157,O157)</f>
        <v>-122.47429233924206</v>
      </c>
      <c r="K157" s="229">
        <f>IF('Small Signal'!$B$37&gt;=1,Z157+0,W157+0)</f>
        <v>-16.35217731653445</v>
      </c>
      <c r="L157" s="229">
        <f>IF('Small Signal'!$B$37&gt;=1,AA157,X157)</f>
        <v>28.871861457109095</v>
      </c>
      <c r="M157" s="229" t="str">
        <f>IMDIV(IMSUM('Small Signal'!$B$2*'Small Signal'!$B$16*'Small Signal'!$B$38,IMPRODUCT(H157,'Small Signal'!$B$2*'Small Signal'!$B$16*'Small Signal'!$B$38*'Small Signal'!$B$13*'Small Signal'!$B$14)),IMSUM(IMPRODUCT('Small Signal'!$B$11*'Small Signal'!$B$13*('Small Signal'!$B$14+'Small Signal'!$B$16),IMPOWER(H157,2)),IMSUM(IMPRODUCT(H157,('Small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-0.179220718412388-0.281598917971032i</v>
      </c>
      <c r="N157" s="229">
        <f t="shared" si="28"/>
        <v>-9.530445772185411</v>
      </c>
      <c r="O157" s="229">
        <f t="shared" si="29"/>
        <v>-122.47429233924206</v>
      </c>
      <c r="P157" s="229" t="str">
        <f>IMDIV(IMSUM('Small Signal'!$B$48,IMPRODUCT(H157,'Small Signal'!$B$49)),IMSUM(IMPRODUCT('Small Signal'!$B$52,IMPOWER(H157,2)),IMSUM(IMPRODUCT(H157,'Small Signal'!$B$51),'Small Signal'!$B$50)))</f>
        <v>-0.171522099094777-0.0506738816723281i</v>
      </c>
      <c r="Q157" s="229">
        <f t="shared" si="30"/>
        <v>-14.95017355525533</v>
      </c>
      <c r="R157" s="229">
        <f t="shared" si="31"/>
        <v>-163.540938249377</v>
      </c>
      <c r="S157" s="229" t="str">
        <f>IMPRODUCT(IMDIV(IMSUM(IMPRODUCT(H157,'Small Signal'!$B$33*'Small Signal'!$B$6*'Small Signal'!$B$27*'Small Signal'!$B$7*'Small Signal'!$B$8),'Small Signal'!$B$33*'Small Signal'!$B$6*'Small Signal'!$B$27),IMSUM(IMSUM(IMPRODUCT(H157,('Small Signal'!$B$5+'Small Signal'!$B$6)*('Small Signal'!$B$32*'Small Signal'!$B$33)+'Small Signal'!$B$5*'Small Signal'!$B$33*('Small Signal'!$B$8+'Small Signal'!$B$9)+'Small Signal'!$B$6*'Small Signal'!$B$33*('Small Signal'!$B$8+'Small Signal'!$B$9)+'Small Signal'!$B$7*'Small Signal'!$B$8*('Small Signal'!$B$5+'Small Signal'!$B$6)),'Small Signal'!$B$6+'Small Signal'!$B$5),IMPRODUCT(IMPOWER(H157,2),'Small Signal'!$B$32*'Small Signal'!$B$33*'Small Signal'!$B$8*'Small Signal'!$B$7*('Small Signal'!$B$5+'Small Signal'!$B$6)+('Small Signal'!$B$5+'Small Signal'!$B$6)*('Small Signal'!$B$9*'Small Signal'!$B$8*'Small Signal'!$B$33*'Small Signal'!$B$7)))),-1)</f>
        <v>-0.400107543613053+0.218633759260614i</v>
      </c>
      <c r="T157" s="229">
        <f t="shared" si="32"/>
        <v>-6.821731544349028</v>
      </c>
      <c r="U157" s="229">
        <f t="shared" si="33"/>
        <v>151.34615379635108</v>
      </c>
      <c r="V157" s="229" t="str">
        <f t="shared" si="34"/>
        <v>0.133274591448275+0.0734861519495949i</v>
      </c>
      <c r="W157" s="226">
        <f t="shared" si="35"/>
        <v>-16.35217731653445</v>
      </c>
      <c r="X157" s="229">
        <f t="shared" si="36"/>
        <v>28.871861457109095</v>
      </c>
      <c r="Y157" s="229" t="str">
        <f t="shared" si="37"/>
        <v>0.0797063069905145-0.017225519000109i</v>
      </c>
      <c r="Z157" s="226">
        <f t="shared" si="38"/>
        <v>-21.771905099604357</v>
      </c>
      <c r="AA157" s="229">
        <f t="shared" si="39"/>
        <v>-12.194784453025958</v>
      </c>
    </row>
    <row r="158" spans="6:27" ht="12.75">
      <c r="F158" s="78">
        <v>156</v>
      </c>
      <c r="G158" s="229">
        <f>10^('Small Signal'!F158/30)</f>
        <v>158489.31924611164</v>
      </c>
      <c r="H158" s="229" t="str">
        <f t="shared" si="27"/>
        <v>995817.762032063i</v>
      </c>
      <c r="I158" s="229">
        <f>IF('Small Signal'!$B$37&gt;=1,Q158+0,N158+0)</f>
        <v>-10.49387773320043</v>
      </c>
      <c r="J158" s="229">
        <f>IF('Small Signal'!$B$37&gt;=1,R158,O158)</f>
        <v>-124.19535061217657</v>
      </c>
      <c r="K158" s="229">
        <f>IF('Small Signal'!$B$37&gt;=1,Z158+0,W158+0)</f>
        <v>-17.464374426154812</v>
      </c>
      <c r="L158" s="229">
        <f>IF('Small Signal'!$B$37&gt;=1,AA158,X158)</f>
        <v>25.426443533431122</v>
      </c>
      <c r="M158" s="229" t="str">
        <f>IMDIV(IMSUM('Small Signal'!$B$2*'Small Signal'!$B$16*'Small Signal'!$B$38,IMPRODUCT(H158,'Small Signal'!$B$2*'Small Signal'!$B$16*'Small Signal'!$B$38*'Small Signal'!$B$13*'Small Signal'!$B$14)),IMSUM(IMPRODUCT('Small Signal'!$B$11*'Small Signal'!$B$13*('Small Signal'!$B$14+'Small Signal'!$B$16),IMPOWER(H158,2)),IMSUM(IMPRODUCT(H158,('Small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-0.167901661777254-0.247102922663182i</v>
      </c>
      <c r="N158" s="229">
        <f t="shared" si="28"/>
        <v>-10.49387773320043</v>
      </c>
      <c r="O158" s="229">
        <f t="shared" si="29"/>
        <v>-124.19535061217657</v>
      </c>
      <c r="P158" s="229" t="str">
        <f>IMDIV(IMSUM('Small Signal'!$B$48,IMPRODUCT(H158,'Small Signal'!$B$49)),IMSUM(IMPRODUCT('Small Signal'!$B$52,IMPOWER(H158,2)),IMSUM(IMPRODUCT(H158,'Small Signal'!$B$51),'Small Signal'!$B$50)))</f>
        <v>-0.147521330870774-0.0434630234151708i</v>
      </c>
      <c r="Q158" s="229">
        <f t="shared" si="30"/>
        <v>-16.261398882432683</v>
      </c>
      <c r="R158" s="229">
        <f t="shared" si="31"/>
        <v>-163.58386893388536</v>
      </c>
      <c r="S158" s="229" t="str">
        <f>IMPRODUCT(IMDIV(IMSUM(IMPRODUCT(H158,'Small Signal'!$B$33*'Small Signal'!$B$6*'Small Signal'!$B$27*'Small Signal'!$B$7*'Small Signal'!$B$8),'Small Signal'!$B$33*'Small Signal'!$B$6*'Small Signal'!$B$27),IMSUM(IMSUM(IMPRODUCT(H158,('Small Signal'!$B$5+'Small Signal'!$B$6)*('Small Signal'!$B$32*'Small Signal'!$B$33)+'Small Signal'!$B$5*'Small Signal'!$B$33*('Small Signal'!$B$8+'Small Signal'!$B$9)+'Small Signal'!$B$6*'Small Signal'!$B$33*('Small Signal'!$B$8+'Small Signal'!$B$9)+'Small Signal'!$B$7*'Small Signal'!$B$8*('Small Signal'!$B$5+'Small Signal'!$B$6)),'Small Signal'!$B$6+'Small Signal'!$B$5),IMPRODUCT(IMPOWER(H158,2),'Small Signal'!$B$32*'Small Signal'!$B$33*'Small Signal'!$B$8*'Small Signal'!$B$7*('Small Signal'!$B$5+'Small Signal'!$B$6)+('Small Signal'!$B$5+'Small Signal'!$B$6)*('Small Signal'!$B$9*'Small Signal'!$B$8*'Small Signal'!$B$33*'Small Signal'!$B$7)))),-1)</f>
        <v>-0.38666782011789+0.226658999185379i</v>
      </c>
      <c r="T158" s="229">
        <f t="shared" si="32"/>
        <v>-6.9704966929543835</v>
      </c>
      <c r="U158" s="229">
        <f t="shared" si="33"/>
        <v>149.6217941456077</v>
      </c>
      <c r="V158" s="229" t="str">
        <f t="shared" si="34"/>
        <v>0.120930270700201+0.0574903258309378i</v>
      </c>
      <c r="W158" s="226">
        <f t="shared" si="35"/>
        <v>-17.464374426154812</v>
      </c>
      <c r="X158" s="229">
        <f t="shared" si="36"/>
        <v>25.426443533431122</v>
      </c>
      <c r="Y158" s="229" t="str">
        <f t="shared" si="37"/>
        <v>0.0668930368175455-0.0166312846939879i</v>
      </c>
      <c r="Z158" s="226">
        <f t="shared" si="38"/>
        <v>-23.231895575387064</v>
      </c>
      <c r="AA158" s="229">
        <f t="shared" si="39"/>
        <v>-13.962074788277679</v>
      </c>
    </row>
    <row r="159" spans="6:27" ht="12.75">
      <c r="F159" s="78">
        <v>157</v>
      </c>
      <c r="G159" s="229">
        <f>10^('Small Signal'!F159/30)</f>
        <v>171132.83041617845</v>
      </c>
      <c r="H159" s="229" t="str">
        <f t="shared" si="27"/>
        <v>1075259.28564699i</v>
      </c>
      <c r="I159" s="229">
        <f>IF('Small Signal'!$B$37&gt;=1,Q159+0,N159+0)</f>
        <v>-11.480854574934058</v>
      </c>
      <c r="J159" s="229">
        <f>IF('Small Signal'!$B$37&gt;=1,R159,O159)</f>
        <v>-125.86598056718958</v>
      </c>
      <c r="K159" s="229">
        <f>IF('Small Signal'!$B$37&gt;=1,Z159+0,W159+0)</f>
        <v>-18.618513644052005</v>
      </c>
      <c r="L159" s="229">
        <f>IF('Small Signal'!$B$37&gt;=1,AA159,X159)</f>
        <v>21.94819807053654</v>
      </c>
      <c r="M159" s="229" t="str">
        <f>IMDIV(IMSUM('Small Signal'!$B$2*'Small Signal'!$B$16*'Small Signal'!$B$38,IMPRODUCT(H159,'Small Signal'!$B$2*'Small Signal'!$B$16*'Small Signal'!$B$38*'Small Signal'!$B$13*'Small Signal'!$B$14)),IMSUM(IMPRODUCT('Small Signal'!$B$11*'Small Signal'!$B$13*('Small Signal'!$B$14+'Small Signal'!$B$16),IMPOWER(H159,2)),IMSUM(IMPRODUCT(H159,('Small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-0.156233554354326-0.216098205600105i</v>
      </c>
      <c r="N159" s="229">
        <f t="shared" si="28"/>
        <v>-11.480854574934058</v>
      </c>
      <c r="O159" s="229">
        <f t="shared" si="29"/>
        <v>-125.86598056718958</v>
      </c>
      <c r="P159" s="229" t="str">
        <f>IMDIV(IMSUM('Small Signal'!$B$48,IMPRODUCT(H159,'Small Signal'!$B$49)),IMSUM(IMPRODUCT('Small Signal'!$B$52,IMPOWER(H159,2)),IMSUM(IMPRODUCT(H159,'Small Signal'!$B$51),'Small Signal'!$B$50)))</f>
        <v>-0.126829363043502-0.0374869401669403i</v>
      </c>
      <c r="Q159" s="229">
        <f t="shared" si="30"/>
        <v>-17.571864027335245</v>
      </c>
      <c r="R159" s="229">
        <f t="shared" si="31"/>
        <v>-163.5339075047405</v>
      </c>
      <c r="S159" s="229" t="str">
        <f>IMPRODUCT(IMDIV(IMSUM(IMPRODUCT(H159,'Small Signal'!$B$33*'Small Signal'!$B$6*'Small Signal'!$B$27*'Small Signal'!$B$7*'Small Signal'!$B$8),'Small Signal'!$B$33*'Small Signal'!$B$6*'Small Signal'!$B$27),IMSUM(IMSUM(IMPRODUCT(H159,('Small Signal'!$B$5+'Small Signal'!$B$6)*('Small Signal'!$B$32*'Small Signal'!$B$33)+'Small Signal'!$B$5*'Small Signal'!$B$33*('Small Signal'!$B$8+'Small Signal'!$B$9)+'Small Signal'!$B$6*'Small Signal'!$B$33*('Small Signal'!$B$8+'Small Signal'!$B$9)+'Small Signal'!$B$7*'Small Signal'!$B$8*('Small Signal'!$B$5+'Small Signal'!$B$6)),'Small Signal'!$B$6+'Small Signal'!$B$5),IMPRODUCT(IMPOWER(H159,2),'Small Signal'!$B$32*'Small Signal'!$B$33*'Small Signal'!$B$8*'Small Signal'!$B$7*('Small Signal'!$B$5+'Small Signal'!$B$6)+('Small Signal'!$B$5+'Small Signal'!$B$6)*('Small Signal'!$B$9*'Small Signal'!$B$8*'Small Signal'!$B$33*'Small Signal'!$B$7)))),-1)</f>
        <v>-0.372095330903711+0.234192359620489i</v>
      </c>
      <c r="T159" s="229">
        <f t="shared" si="32"/>
        <v>-7.137659069117945</v>
      </c>
      <c r="U159" s="229">
        <f t="shared" si="33"/>
        <v>147.81417863772612</v>
      </c>
      <c r="V159" s="229" t="str">
        <f t="shared" si="34"/>
        <v>0.108742324784978+0.0438204285743337i</v>
      </c>
      <c r="W159" s="226">
        <f t="shared" si="35"/>
        <v>-18.618513644052005</v>
      </c>
      <c r="X159" s="229">
        <f t="shared" si="36"/>
        <v>21.94819807053654</v>
      </c>
      <c r="Y159" s="229" t="str">
        <f t="shared" si="37"/>
        <v>0.0559717687826266-0.0157537523943361i</v>
      </c>
      <c r="Z159" s="226">
        <f t="shared" si="38"/>
        <v>-24.709523096453193</v>
      </c>
      <c r="AA159" s="229">
        <f t="shared" si="39"/>
        <v>-15.719728867014366</v>
      </c>
    </row>
    <row r="160" spans="6:27" ht="12.75">
      <c r="F160" s="78">
        <v>158</v>
      </c>
      <c r="G160" s="229">
        <f>10^('Small Signal'!F160/30)</f>
        <v>184784.97974222922</v>
      </c>
      <c r="H160" s="229" t="str">
        <f t="shared" si="27"/>
        <v>1161038.26970385i</v>
      </c>
      <c r="I160" s="229">
        <f>IF('Small Signal'!$B$37&gt;=1,Q160+0,N160+0)</f>
        <v>-12.491009398253322</v>
      </c>
      <c r="J160" s="229">
        <f>IF('Small Signal'!$B$37&gt;=1,R160,O160)</f>
        <v>-127.4708341483568</v>
      </c>
      <c r="K160" s="229">
        <f>IF('Small Signal'!$B$37&gt;=1,Z160+0,W160+0)</f>
        <v>-19.815702756430927</v>
      </c>
      <c r="L160" s="229">
        <f>IF('Small Signal'!$B$37&gt;=1,AA160,X160)</f>
        <v>18.458662785218106</v>
      </c>
      <c r="M160" s="229" t="str">
        <f>IMDIV(IMSUM('Small Signal'!$B$2*'Small Signal'!$B$16*'Small Signal'!$B$38,IMPRODUCT(H160,'Small Signal'!$B$2*'Small Signal'!$B$16*'Small Signal'!$B$38*'Small Signal'!$B$13*'Small Signal'!$B$14)),IMSUM(IMPRODUCT('Small Signal'!$B$11*'Small Signal'!$B$13*('Small Signal'!$B$14+'Small Signal'!$B$16),IMPOWER(H160,2)),IMSUM(IMPRODUCT(H160,('Small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-0.144413700842916-0.188402096337395i</v>
      </c>
      <c r="N160" s="229">
        <f t="shared" si="28"/>
        <v>-12.491009398253322</v>
      </c>
      <c r="O160" s="229">
        <f t="shared" si="29"/>
        <v>-127.4708341483568</v>
      </c>
      <c r="P160" s="229" t="str">
        <f>IMDIV(IMSUM('Small Signal'!$B$48,IMPRODUCT(H160,'Small Signal'!$B$49)),IMSUM(IMPRODUCT('Small Signal'!$B$52,IMPOWER(H160,2)),IMSUM(IMPRODUCT(H160,'Small Signal'!$B$51),'Small Signal'!$B$50)))</f>
        <v>-0.109003110201483-0.0325134970165461i</v>
      </c>
      <c r="Q160" s="229">
        <f t="shared" si="30"/>
        <v>-18.8810581479694</v>
      </c>
      <c r="R160" s="229">
        <f t="shared" si="31"/>
        <v>-163.3911864010039</v>
      </c>
      <c r="S160" s="229" t="str">
        <f>IMPRODUCT(IMDIV(IMSUM(IMPRODUCT(H160,'Small Signal'!$B$33*'Small Signal'!$B$6*'Small Signal'!$B$27*'Small Signal'!$B$7*'Small Signal'!$B$8),'Small Signal'!$B$33*'Small Signal'!$B$6*'Small Signal'!$B$27),IMSUM(IMSUM(IMPRODUCT(H160,('Small Signal'!$B$5+'Small Signal'!$B$6)*('Small Signal'!$B$32*'Small Signal'!$B$33)+'Small Signal'!$B$5*'Small Signal'!$B$33*('Small Signal'!$B$8+'Small Signal'!$B$9)+'Small Signal'!$B$6*'Small Signal'!$B$33*('Small Signal'!$B$8+'Small Signal'!$B$9)+'Small Signal'!$B$7*'Small Signal'!$B$8*('Small Signal'!$B$5+'Small Signal'!$B$6)),'Small Signal'!$B$6+'Small Signal'!$B$5),IMPRODUCT(IMPOWER(H160,2),'Small Signal'!$B$32*'Small Signal'!$B$33*'Small Signal'!$B$8*'Small Signal'!$B$7*('Small Signal'!$B$5+'Small Signal'!$B$6)+('Small Signal'!$B$5+'Small Signal'!$B$6)*('Small Signal'!$B$9*'Small Signal'!$B$8*'Small Signal'!$B$33*'Small Signal'!$B$7)))),-1)</f>
        <v>-0.356433575300126+0.241056152031856i</v>
      </c>
      <c r="T160" s="229">
        <f t="shared" si="32"/>
        <v>-7.324693358177604</v>
      </c>
      <c r="U160" s="229">
        <f t="shared" si="33"/>
        <v>145.9294969335749</v>
      </c>
      <c r="V160" s="229" t="str">
        <f t="shared" si="34"/>
        <v>0.0968893760915908+0.0323410217657035i</v>
      </c>
      <c r="W160" s="226">
        <f t="shared" si="35"/>
        <v>-19.815702756430927</v>
      </c>
      <c r="X160" s="229">
        <f t="shared" si="36"/>
        <v>18.458662785218106</v>
      </c>
      <c r="Y160" s="229" t="str">
        <f t="shared" si="37"/>
        <v>0.0466899467678561-0.0146869683175563i</v>
      </c>
      <c r="Z160" s="226">
        <f t="shared" si="38"/>
        <v>-26.205751506147</v>
      </c>
      <c r="AA160" s="229">
        <f t="shared" si="39"/>
        <v>-17.46168946742894</v>
      </c>
    </row>
    <row r="161" spans="6:27" ht="12.75">
      <c r="F161" s="78">
        <v>159</v>
      </c>
      <c r="G161" s="229">
        <f>10^('Small Signal'!F161/30)</f>
        <v>199526.23149688813</v>
      </c>
      <c r="H161" s="229" t="str">
        <f t="shared" si="27"/>
        <v>1253660.28613816i</v>
      </c>
      <c r="I161" s="229">
        <f>IF('Small Signal'!$B$37&gt;=1,Q161+0,N161+0)</f>
        <v>-13.523631733047335</v>
      </c>
      <c r="J161" s="229">
        <f>IF('Small Signal'!$B$37&gt;=1,R161,O161)</f>
        <v>-128.9946077011175</v>
      </c>
      <c r="K161" s="229">
        <f>IF('Small Signal'!$B$37&gt;=1,Z161+0,W161+0)</f>
        <v>-21.056625395842843</v>
      </c>
      <c r="L161" s="229">
        <f>IF('Small Signal'!$B$37&gt;=1,AA161,X161)</f>
        <v>14.980793989849506</v>
      </c>
      <c r="M161" s="229" t="str">
        <f>IMDIV(IMSUM('Small Signal'!$B$2*'Small Signal'!$B$16*'Small Signal'!$B$38,IMPRODUCT(H161,'Small Signal'!$B$2*'Small Signal'!$B$16*'Small Signal'!$B$38*'Small Signal'!$B$13*'Small Signal'!$B$14)),IMSUM(IMPRODUCT('Small Signal'!$B$11*'Small Signal'!$B$13*('Small Signal'!$B$14+'Small Signal'!$B$16),IMPOWER(H161,2)),IMSUM(IMPRODUCT(H161,('Small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-0.132629379711085-0.163815164729118i</v>
      </c>
      <c r="N161" s="229">
        <f t="shared" si="28"/>
        <v>-13.523631733047335</v>
      </c>
      <c r="O161" s="229">
        <f t="shared" si="29"/>
        <v>-128.9946077011175</v>
      </c>
      <c r="P161" s="229" t="str">
        <f>IMDIV(IMSUM('Small Signal'!$B$48,IMPRODUCT(H161,'Small Signal'!$B$49)),IMSUM(IMPRODUCT('Small Signal'!$B$52,IMPOWER(H161,2)),IMSUM(IMPRODUCT(H161,'Small Signal'!$B$51),'Small Signal'!$B$50)))</f>
        <v>-0.0936553488652744-0.0283555974603575i</v>
      </c>
      <c r="Q161" s="229">
        <f t="shared" si="30"/>
        <v>-20.188446950518685</v>
      </c>
      <c r="R161" s="229">
        <f t="shared" si="31"/>
        <v>-163.15550451273086</v>
      </c>
      <c r="S161" s="229" t="str">
        <f>IMPRODUCT(IMDIV(IMSUM(IMPRODUCT(H161,'Small Signal'!$B$33*'Small Signal'!$B$6*'Small Signal'!$B$27*'Small Signal'!$B$7*'Small Signal'!$B$8),'Small Signal'!$B$33*'Small Signal'!$B$6*'Small Signal'!$B$27),IMSUM(IMSUM(IMPRODUCT(H161,('Small Signal'!$B$5+'Small Signal'!$B$6)*('Small Signal'!$B$32*'Small Signal'!$B$33)+'Small Signal'!$B$5*'Small Signal'!$B$33*('Small Signal'!$B$8+'Small Signal'!$B$9)+'Small Signal'!$B$6*'Small Signal'!$B$33*('Small Signal'!$B$8+'Small Signal'!$B$9)+'Small Signal'!$B$7*'Small Signal'!$B$8*('Small Signal'!$B$5+'Small Signal'!$B$6)),'Small Signal'!$B$6+'Small Signal'!$B$5),IMPRODUCT(IMPOWER(H161,2),'Small Signal'!$B$32*'Small Signal'!$B$33*'Small Signal'!$B$8*'Small Signal'!$B$7*('Small Signal'!$B$5+'Small Signal'!$B$6)+('Small Signal'!$B$5+'Small Signal'!$B$6)*('Small Signal'!$B$9*'Small Signal'!$B$8*'Small Signal'!$B$33*'Small Signal'!$B$7)))),-1)</f>
        <v>-0.339760146316887+0.247073129092545i</v>
      </c>
      <c r="T161" s="229">
        <f t="shared" si="32"/>
        <v>-7.532993662795512</v>
      </c>
      <c r="U161" s="229">
        <f t="shared" si="33"/>
        <v>143.97540169096698</v>
      </c>
      <c r="V161" s="229" t="str">
        <f t="shared" si="34"/>
        <v>0.0855365027989901+0.022888708482469i</v>
      </c>
      <c r="W161" s="226">
        <f t="shared" si="35"/>
        <v>-21.056625395842843</v>
      </c>
      <c r="X161" s="229">
        <f t="shared" si="36"/>
        <v>14.980793989849506</v>
      </c>
      <c r="Y161" s="229" t="str">
        <f t="shared" si="37"/>
        <v>0.0388262612256439-0.0135056181583635i</v>
      </c>
      <c r="Z161" s="226">
        <f t="shared" si="38"/>
        <v>-27.72144061331419</v>
      </c>
      <c r="AA161" s="229">
        <f t="shared" si="39"/>
        <v>-19.180102821763896</v>
      </c>
    </row>
    <row r="162" spans="6:27" ht="12.75">
      <c r="F162" s="78">
        <v>160</v>
      </c>
      <c r="G162" s="229">
        <f>10^('Small Signal'!F162/30)</f>
        <v>215443.46900318863</v>
      </c>
      <c r="H162" s="229" t="str">
        <f t="shared" si="27"/>
        <v>1353671.23896864i</v>
      </c>
      <c r="I162" s="229">
        <f>IF('Small Signal'!$B$37&gt;=1,Q162+0,N162+0)</f>
        <v>-14.57767603419997</v>
      </c>
      <c r="J162" s="229">
        <f>IF('Small Signal'!$B$37&gt;=1,R162,O162)</f>
        <v>-130.42242486261253</v>
      </c>
      <c r="K162" s="229">
        <f>IF('Small Signal'!$B$37&gt;=1,Z162+0,W162+0)</f>
        <v>-22.341503654440203</v>
      </c>
      <c r="L162" s="229">
        <f>IF('Small Signal'!$B$37&gt;=1,AA162,X162)</f>
        <v>11.53855191781189</v>
      </c>
      <c r="M162" s="229" t="str">
        <f>IMDIV(IMSUM('Small Signal'!$B$2*'Small Signal'!$B$16*'Small Signal'!$B$38,IMPRODUCT(H162,'Small Signal'!$B$2*'Small Signal'!$B$16*'Small Signal'!$B$38*'Small Signal'!$B$13*'Small Signal'!$B$14)),IMSUM(IMPRODUCT('Small Signal'!$B$11*'Small Signal'!$B$13*('Small Signal'!$B$14+'Small Signal'!$B$16),IMPOWER(H162,2)),IMSUM(IMPRODUCT(H162,('Small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-0.121051785344526-0.142122629217694i</v>
      </c>
      <c r="N162" s="229">
        <f t="shared" si="28"/>
        <v>-14.57767603419997</v>
      </c>
      <c r="O162" s="229">
        <f t="shared" si="29"/>
        <v>-130.42242486261253</v>
      </c>
      <c r="P162" s="229" t="str">
        <f>IMDIV(IMSUM('Small Signal'!$B$48,IMPRODUCT(H162,'Small Signal'!$B$49)),IMSUM(IMPRODUCT('Small Signal'!$B$52,IMPOWER(H162,2)),IMSUM(IMPRODUCT(H162,'Small Signal'!$B$51),'Small Signal'!$B$50)))</f>
        <v>-0.0804486143380459-0.0248624618679148i</v>
      </c>
      <c r="Q162" s="229">
        <f t="shared" si="30"/>
        <v>-21.49346318840914</v>
      </c>
      <c r="R162" s="229">
        <f t="shared" si="31"/>
        <v>-162.8263544997372</v>
      </c>
      <c r="S162" s="229" t="str">
        <f>IMPRODUCT(IMDIV(IMSUM(IMPRODUCT(H162,'Small Signal'!$B$33*'Small Signal'!$B$6*'Small Signal'!$B$27*'Small Signal'!$B$7*'Small Signal'!$B$8),'Small Signal'!$B$33*'Small Signal'!$B$6*'Small Signal'!$B$27),IMSUM(IMSUM(IMPRODUCT(H162,('Small Signal'!$B$5+'Small Signal'!$B$6)*('Small Signal'!$B$32*'Small Signal'!$B$33)+'Small Signal'!$B$5*'Small Signal'!$B$33*('Small Signal'!$B$8+'Small Signal'!$B$9)+'Small Signal'!$B$6*'Small Signal'!$B$33*('Small Signal'!$B$8+'Small Signal'!$B$9)+'Small Signal'!$B$7*'Small Signal'!$B$8*('Small Signal'!$B$5+'Small Signal'!$B$6)),'Small Signal'!$B$6+'Small Signal'!$B$5),IMPRODUCT(IMPOWER(H162,2),'Small Signal'!$B$32*'Small Signal'!$B$33*'Small Signal'!$B$8*'Small Signal'!$B$7*('Small Signal'!$B$5+'Small Signal'!$B$6)+('Small Signal'!$B$5+'Small Signal'!$B$6)*('Small Signal'!$B$9*'Small Signal'!$B$8*'Small Signal'!$B$33*'Small Signal'!$B$7)))),-1)</f>
        <v>-0.322188105903214+0.252074507393124i</v>
      </c>
      <c r="T162" s="229">
        <f t="shared" si="32"/>
        <v>-7.763827620240235</v>
      </c>
      <c r="U162" s="229">
        <f t="shared" si="33"/>
        <v>141.96097678042446</v>
      </c>
      <c r="V162" s="229" t="str">
        <f t="shared" si="34"/>
        <v>0.0748269371858211+0.015276151553854i</v>
      </c>
      <c r="W162" s="226">
        <f t="shared" si="35"/>
        <v>-22.341503654440203</v>
      </c>
      <c r="X162" s="229">
        <f t="shared" si="36"/>
        <v>11.53855191781189</v>
      </c>
      <c r="Y162" s="229" t="str">
        <f t="shared" si="37"/>
        <v>0.0321867795040481-0.012268655332408i</v>
      </c>
      <c r="Z162" s="226">
        <f t="shared" si="38"/>
        <v>-29.257290808649373</v>
      </c>
      <c r="AA162" s="229">
        <f t="shared" si="39"/>
        <v>-20.86537771931278</v>
      </c>
    </row>
    <row r="163" spans="6:27" ht="12.75">
      <c r="F163" s="78">
        <v>161</v>
      </c>
      <c r="G163" s="229">
        <f>10^('Small Signal'!F163/30)</f>
        <v>232630.50671536254</v>
      </c>
      <c r="H163" s="229" t="str">
        <f t="shared" si="27"/>
        <v>1461660.58179571i</v>
      </c>
      <c r="I163" s="229">
        <f>IF('Small Signal'!$B$37&gt;=1,Q163+0,N163+0)</f>
        <v>-15.651781989771589</v>
      </c>
      <c r="J163" s="229">
        <f>IF('Small Signal'!$B$37&gt;=1,R163,O163)</f>
        <v>-131.74018675383795</v>
      </c>
      <c r="K163" s="229">
        <f>IF('Small Signal'!$B$37&gt;=1,Z163+0,W163+0)</f>
        <v>-23.670072126854855</v>
      </c>
      <c r="L163" s="229">
        <f>IF('Small Signal'!$B$37&gt;=1,AA163,X163)</f>
        <v>8.15644506338873</v>
      </c>
      <c r="M163" s="229" t="str">
        <f>IMDIV(IMSUM('Small Signal'!$B$2*'Small Signal'!$B$16*'Small Signal'!$B$38,IMPRODUCT(H163,'Small Signal'!$B$2*'Small Signal'!$B$16*'Small Signal'!$B$38*'Small Signal'!$B$13*'Small Signal'!$B$14)),IMSUM(IMPRODUCT('Small Signal'!$B$11*'Small Signal'!$B$13*('Small Signal'!$B$14+'Small Signal'!$B$16),IMPOWER(H163,2)),IMSUM(IMPRODUCT(H163,('Small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-0.109830915664846-0.123097577533932i</v>
      </c>
      <c r="N163" s="229">
        <f t="shared" si="28"/>
        <v>-15.651781989771589</v>
      </c>
      <c r="O163" s="229">
        <f t="shared" si="29"/>
        <v>-131.74018675383795</v>
      </c>
      <c r="P163" s="229" t="str">
        <f>IMDIV(IMSUM('Small Signal'!$B$48,IMPRODUCT(H163,'Small Signal'!$B$49)),IMSUM(IMPRODUCT('Small Signal'!$B$52,IMPOWER(H163,2)),IMSUM(IMPRODUCT(H163,'Small Signal'!$B$51),'Small Signal'!$B$50)))</f>
        <v>-0.0690894978550868-0.0219125534889834i</v>
      </c>
      <c r="Q163" s="229">
        <f t="shared" si="30"/>
        <v>-22.795497163440857</v>
      </c>
      <c r="R163" s="229">
        <f t="shared" si="31"/>
        <v>-162.40295835728668</v>
      </c>
      <c r="S163" s="229" t="str">
        <f>IMPRODUCT(IMDIV(IMSUM(IMPRODUCT(H163,'Small Signal'!$B$33*'Small Signal'!$B$6*'Small Signal'!$B$27*'Small Signal'!$B$7*'Small Signal'!$B$8),'Small Signal'!$B$33*'Small Signal'!$B$6*'Small Signal'!$B$27),IMSUM(IMSUM(IMPRODUCT(H163,('Small Signal'!$B$5+'Small Signal'!$B$6)*('Small Signal'!$B$32*'Small Signal'!$B$33)+'Small Signal'!$B$5*'Small Signal'!$B$33*('Small Signal'!$B$8+'Small Signal'!$B$9)+'Small Signal'!$B$6*'Small Signal'!$B$33*('Small Signal'!$B$8+'Small Signal'!$B$9)+'Small Signal'!$B$7*'Small Signal'!$B$8*('Small Signal'!$B$5+'Small Signal'!$B$6)),'Small Signal'!$B$6+'Small Signal'!$B$5),IMPRODUCT(IMPOWER(H163,2),'Small Signal'!$B$32*'Small Signal'!$B$33*'Small Signal'!$B$8*'Small Signal'!$B$7*('Small Signal'!$B$5+'Small Signal'!$B$6)+('Small Signal'!$B$5+'Small Signal'!$B$6)*('Small Signal'!$B$9*'Small Signal'!$B$8*'Small Signal'!$B$33*'Small Signal'!$B$7)))),-1)</f>
        <v>-0.303865087670059+0.255908694467269i</v>
      </c>
      <c r="T163" s="229">
        <f t="shared" si="32"/>
        <v>-8.018290137083264</v>
      </c>
      <c r="U163" s="229">
        <f t="shared" si="33"/>
        <v>139.89663181722668</v>
      </c>
      <c r="V163" s="229" t="str">
        <f t="shared" si="34"/>
        <v>0.0648755211761732+0.00929836994938467i</v>
      </c>
      <c r="W163" s="226">
        <f t="shared" si="35"/>
        <v>-23.670072126854855</v>
      </c>
      <c r="X163" s="229">
        <f t="shared" si="36"/>
        <v>8.15644506338873</v>
      </c>
      <c r="Y163" s="229" t="str">
        <f t="shared" si="37"/>
        <v>0.0266014992786262-0.0110221432104896i</v>
      </c>
      <c r="Z163" s="226">
        <f t="shared" si="38"/>
        <v>-30.81378730052414</v>
      </c>
      <c r="AA163" s="229">
        <f t="shared" si="39"/>
        <v>-22.506326540059963</v>
      </c>
    </row>
    <row r="164" spans="6:27" ht="12.75">
      <c r="F164" s="78">
        <v>162</v>
      </c>
      <c r="G164" s="229">
        <f>10^('Small Signal'!F164/30)</f>
        <v>251188.64315095844</v>
      </c>
      <c r="H164" s="229" t="str">
        <f t="shared" si="27"/>
        <v>1578264.79197648i</v>
      </c>
      <c r="I164" s="229">
        <f>IF('Small Signal'!$B$37&gt;=1,Q164+0,N164+0)</f>
        <v>-16.744304241870452</v>
      </c>
      <c r="J164" s="229">
        <f>IF('Small Signal'!$B$37&gt;=1,R164,O164)</f>
        <v>-132.93487161100677</v>
      </c>
      <c r="K164" s="229">
        <f>IF('Small Signal'!$B$37&gt;=1,Z164+0,W164+0)</f>
        <v>-25.041564204632408</v>
      </c>
      <c r="L164" s="229">
        <f>IF('Small Signal'!$B$37&gt;=1,AA164,X164)</f>
        <v>4.859048450631746</v>
      </c>
      <c r="M164" s="229" t="str">
        <f>IMDIV(IMSUM('Small Signal'!$B$2*'Small Signal'!$B$16*'Small Signal'!$B$38,IMPRODUCT(H164,'Small Signal'!$B$2*'Small Signal'!$B$16*'Small Signal'!$B$38*'Small Signal'!$B$13*'Small Signal'!$B$14)),IMSUM(IMPRODUCT('Small Signal'!$B$11*'Small Signal'!$B$13*('Small Signal'!$B$14+'Small Signal'!$B$16),IMPOWER(H164,2)),IMSUM(IMPRODUCT(H164,('Small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-0.0990918927728052-0.106505510232564i</v>
      </c>
      <c r="N164" s="229">
        <f t="shared" si="28"/>
        <v>-16.744304241870452</v>
      </c>
      <c r="O164" s="229">
        <f t="shared" si="29"/>
        <v>-132.93487161100677</v>
      </c>
      <c r="P164" s="229" t="str">
        <f>IMDIV(IMSUM('Small Signal'!$B$48,IMPRODUCT(H164,'Small Signal'!$B$49)),IMSUM(IMPRODUCT('Small Signal'!$B$52,IMPOWER(H164,2)),IMSUM(IMPRODUCT(H164,'Small Signal'!$B$51),'Small Signal'!$B$50)))</f>
        <v>-0.0593234036670468-0.0194078567032027i</v>
      </c>
      <c r="Q164" s="229">
        <f t="shared" si="30"/>
        <v>-24.09388729548389</v>
      </c>
      <c r="R164" s="229">
        <f t="shared" si="31"/>
        <v>-161.88431242807516</v>
      </c>
      <c r="S164" s="229" t="str">
        <f>IMPRODUCT(IMDIV(IMSUM(IMPRODUCT(H164,'Small Signal'!$B$33*'Small Signal'!$B$6*'Small Signal'!$B$27*'Small Signal'!$B$7*'Small Signal'!$B$8),'Small Signal'!$B$33*'Small Signal'!$B$6*'Small Signal'!$B$27),IMSUM(IMSUM(IMPRODUCT(H164,('Small Signal'!$B$5+'Small Signal'!$B$6)*('Small Signal'!$B$32*'Small Signal'!$B$33)+'Small Signal'!$B$5*'Small Signal'!$B$33*('Small Signal'!$B$8+'Small Signal'!$B$9)+'Small Signal'!$B$6*'Small Signal'!$B$33*('Small Signal'!$B$8+'Small Signal'!$B$9)+'Small Signal'!$B$7*'Small Signal'!$B$8*('Small Signal'!$B$5+'Small Signal'!$B$6)),'Small Signal'!$B$6+'Small Signal'!$B$5),IMPRODUCT(IMPOWER(H164,2),'Small Signal'!$B$32*'Small Signal'!$B$33*'Small Signal'!$B$8*'Small Signal'!$B$7*('Small Signal'!$B$5+'Small Signal'!$B$6)+('Small Signal'!$B$5+'Small Signal'!$B$6)*('Small Signal'!$B$9*'Small Signal'!$B$8*'Small Signal'!$B$33*'Small Signal'!$B$7)))),-1)</f>
        <v>-0.284969826644628+0.258449967324342i</v>
      </c>
      <c r="T164" s="229">
        <f t="shared" si="32"/>
        <v>-8.297259962761952</v>
      </c>
      <c r="U164" s="229">
        <f t="shared" si="33"/>
        <v>137.7939200616385</v>
      </c>
      <c r="V164" s="229" t="str">
        <f t="shared" si="34"/>
        <v>0.0557645451448229+0.00474056033843271i</v>
      </c>
      <c r="W164" s="226">
        <f t="shared" si="35"/>
        <v>-25.041564204632408</v>
      </c>
      <c r="X164" s="229">
        <f t="shared" si="36"/>
        <v>4.859048450631746</v>
      </c>
      <c r="Y164" s="229" t="str">
        <f t="shared" si="37"/>
        <v>0.0219213399897459-0.00980147817906154i</v>
      </c>
      <c r="Z164" s="226">
        <f t="shared" si="38"/>
        <v>-32.39114725824583</v>
      </c>
      <c r="AA164" s="229">
        <f t="shared" si="39"/>
        <v>-24.090392366436625</v>
      </c>
    </row>
    <row r="165" spans="6:27" ht="12.75">
      <c r="F165" s="78">
        <v>163</v>
      </c>
      <c r="G165" s="229">
        <f>10^('Small Signal'!F165/30)</f>
        <v>271227.25793320336</v>
      </c>
      <c r="H165" s="229" t="str">
        <f t="shared" si="27"/>
        <v>1704171.12195251i</v>
      </c>
      <c r="I165" s="229">
        <f>IF('Small Signal'!$B$37&gt;=1,Q165+0,N165+0)</f>
        <v>-17.853348492957558</v>
      </c>
      <c r="J165" s="229">
        <f>IF('Small Signal'!$B$37&gt;=1,R165,O165)</f>
        <v>-133.9947731053324</v>
      </c>
      <c r="K165" s="229">
        <f>IF('Small Signal'!$B$37&gt;=1,Z165+0,W165+0)</f>
        <v>-26.454711029263926</v>
      </c>
      <c r="L165" s="229">
        <f>IF('Small Signal'!$B$37&gt;=1,AA165,X165)</f>
        <v>1.6705108022651802</v>
      </c>
      <c r="M165" s="229" t="str">
        <f>IMDIV(IMSUM('Small Signal'!$B$2*'Small Signal'!$B$16*'Small Signal'!$B$38,IMPRODUCT(H165,'Small Signal'!$B$2*'Small Signal'!$B$16*'Small Signal'!$B$38*'Small Signal'!$B$13*'Small Signal'!$B$14)),IMSUM(IMPRODUCT('Small Signal'!$B$11*'Small Signal'!$B$13*('Small Signal'!$B$14+'Small Signal'!$B$16),IMPOWER(H165,2)),IMSUM(IMPRODUCT(H165,('Small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-0.0889329744520572-0.0921096053810377i</v>
      </c>
      <c r="N165" s="229">
        <f t="shared" si="28"/>
        <v>-17.853348492957558</v>
      </c>
      <c r="O165" s="229">
        <f t="shared" si="29"/>
        <v>-133.9947731053324</v>
      </c>
      <c r="P165" s="229" t="str">
        <f>IMDIV(IMSUM('Small Signal'!$B$48,IMPRODUCT(H165,'Small Signal'!$B$49)),IMSUM(IMPRODUCT('Small Signal'!$B$52,IMPOWER(H165,2)),IMSUM(IMPRODUCT(H165,'Small Signal'!$B$51),'Small Signal'!$B$50)))</f>
        <v>-0.0509297889589924-0.0172692597422669i</v>
      </c>
      <c r="Q165" s="229">
        <f t="shared" si="30"/>
        <v>-25.387910890948667</v>
      </c>
      <c r="R165" s="229">
        <f t="shared" si="31"/>
        <v>-161.2692432498851</v>
      </c>
      <c r="S165" s="229" t="str">
        <f>IMPRODUCT(IMDIV(IMSUM(IMPRODUCT(H165,'Small Signal'!$B$33*'Small Signal'!$B$6*'Small Signal'!$B$27*'Small Signal'!$B$7*'Small Signal'!$B$8),'Small Signal'!$B$33*'Small Signal'!$B$6*'Small Signal'!$B$27),IMSUM(IMSUM(IMPRODUCT(H165,('Small Signal'!$B$5+'Small Signal'!$B$6)*('Small Signal'!$B$32*'Small Signal'!$B$33)+'Small Signal'!$B$5*'Small Signal'!$B$33*('Small Signal'!$B$8+'Small Signal'!$B$9)+'Small Signal'!$B$6*'Small Signal'!$B$33*('Small Signal'!$B$8+'Small Signal'!$B$9)+'Small Signal'!$B$7*'Small Signal'!$B$8*('Small Signal'!$B$5+'Small Signal'!$B$6)),'Small Signal'!$B$6+'Small Signal'!$B$5),IMPRODUCT(IMPOWER(H165,2),'Small Signal'!$B$32*'Small Signal'!$B$33*'Small Signal'!$B$8*'Small Signal'!$B$7*('Small Signal'!$B$5+'Small Signal'!$B$6)+('Small Signal'!$B$5+'Small Signal'!$B$6)*('Small Signal'!$B$9*'Small Signal'!$B$8*'Small Signal'!$B$33*'Small Signal'!$B$7)))),-1)</f>
        <v>-0.265706105858666+0.25960622295497i</v>
      </c>
      <c r="T165" s="229">
        <f t="shared" si="32"/>
        <v>-8.601362536306365</v>
      </c>
      <c r="U165" s="229">
        <f t="shared" si="33"/>
        <v>135.66528390759757</v>
      </c>
      <c r="V165" s="229" t="str">
        <f t="shared" si="34"/>
        <v>0.0475422610749283+0.00138653096432454i</v>
      </c>
      <c r="W165" s="226">
        <f t="shared" si="35"/>
        <v>-26.454711029263926</v>
      </c>
      <c r="X165" s="229">
        <f t="shared" si="36"/>
        <v>1.6705108022651802</v>
      </c>
      <c r="Y165" s="229" t="str">
        <f t="shared" si="37"/>
        <v>0.0180155631914158-0.00863314239035818i</v>
      </c>
      <c r="Z165" s="226">
        <f t="shared" si="38"/>
        <v>-33.98927342725502</v>
      </c>
      <c r="AA165" s="229">
        <f t="shared" si="39"/>
        <v>-25.603959342287528</v>
      </c>
    </row>
    <row r="166" spans="6:27" ht="12.75">
      <c r="F166" s="78">
        <v>164</v>
      </c>
      <c r="G166" s="229">
        <f>10^('Small Signal'!F166/30)</f>
        <v>292864.4564625243</v>
      </c>
      <c r="H166" s="229" t="str">
        <f t="shared" si="27"/>
        <v>1840121.64984047i</v>
      </c>
      <c r="I166" s="229">
        <f>IF('Small Signal'!$B$37&gt;=1,Q166+0,N166+0)</f>
        <v>-18.976810811099305</v>
      </c>
      <c r="J166" s="229">
        <f>IF('Small Signal'!$B$37&gt;=1,R166,O166)</f>
        <v>-134.909674387107</v>
      </c>
      <c r="K166" s="229">
        <f>IF('Small Signal'!$B$37&gt;=1,Z166+0,W166+0)</f>
        <v>-27.907753140986586</v>
      </c>
      <c r="L166" s="229">
        <f>IF('Small Signal'!$B$37&gt;=1,AA166,X166)</f>
        <v>-1.3859344693988647</v>
      </c>
      <c r="M166" s="229" t="str">
        <f>IMDIV(IMSUM('Small Signal'!$B$2*'Small Signal'!$B$16*'Small Signal'!$B$38,IMPRODUCT(H166,'Small Signal'!$B$2*'Small Signal'!$B$16*'Small Signal'!$B$38*'Small Signal'!$B$13*'Small Signal'!$B$14)),IMSUM(IMPRODUCT('Small Signal'!$B$11*'Small Signal'!$B$13*('Small Signal'!$B$14+'Small Signal'!$B$16),IMPOWER(H166,2)),IMSUM(IMPRODUCT(H166,('Small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-0.0794252745718415-0.0796760948020268i</v>
      </c>
      <c r="N166" s="229">
        <f t="shared" si="28"/>
        <v>-18.976810811099305</v>
      </c>
      <c r="O166" s="229">
        <f t="shared" si="29"/>
        <v>-134.909674387107</v>
      </c>
      <c r="P166" s="229" t="str">
        <f>IMDIV(IMSUM('Small Signal'!$B$48,IMPRODUCT(H166,'Small Signal'!$B$49)),IMSUM(IMPRODUCT('Small Signal'!$B$52,IMPOWER(H166,2)),IMSUM(IMPRODUCT(H166,'Small Signal'!$B$51),'Small Signal'!$B$50)))</f>
        <v>-0.0437178845495465-0.0154328358442354i</v>
      </c>
      <c r="Q166" s="229">
        <f t="shared" si="30"/>
        <v>-26.676775320591965</v>
      </c>
      <c r="R166" s="229">
        <f t="shared" si="31"/>
        <v>-160.55647573747558</v>
      </c>
      <c r="S166" s="229" t="str">
        <f>IMPRODUCT(IMDIV(IMSUM(IMPRODUCT(H166,'Small Signal'!$B$33*'Small Signal'!$B$6*'Small Signal'!$B$27*'Small Signal'!$B$7*'Small Signal'!$B$8),'Small Signal'!$B$33*'Small Signal'!$B$6*'Small Signal'!$B$27),IMSUM(IMSUM(IMPRODUCT(H166,('Small Signal'!$B$5+'Small Signal'!$B$6)*('Small Signal'!$B$32*'Small Signal'!$B$33)+'Small Signal'!$B$5*'Small Signal'!$B$33*('Small Signal'!$B$8+'Small Signal'!$B$9)+'Small Signal'!$B$6*'Small Signal'!$B$33*('Small Signal'!$B$8+'Small Signal'!$B$9)+'Small Signal'!$B$7*'Small Signal'!$B$8*('Small Signal'!$B$5+'Small Signal'!$B$6)),'Small Signal'!$B$6+'Small Signal'!$B$5),IMPRODUCT(IMPOWER(H166,2),'Small Signal'!$B$32*'Small Signal'!$B$33*'Small Signal'!$B$8*'Small Signal'!$B$7*('Small Signal'!$B$5+'Small Signal'!$B$6)+('Small Signal'!$B$5+'Small Signal'!$B$6)*('Small Signal'!$B$9*'Small Signal'!$B$8*'Small Signal'!$B$33*'Small Signal'!$B$7)))),-1)</f>
        <v>-0.246294453337649+0.25932492308671i</v>
      </c>
      <c r="T166" s="229">
        <f t="shared" si="32"/>
        <v>-8.930942329887285</v>
      </c>
      <c r="U166" s="229">
        <f t="shared" si="33"/>
        <v>133.52373991770813</v>
      </c>
      <c r="V166" s="229" t="str">
        <f t="shared" si="34"/>
        <v>0.0402240017382494-0.000973173006139735i</v>
      </c>
      <c r="W166" s="226">
        <f t="shared" si="35"/>
        <v>-27.907753140986586</v>
      </c>
      <c r="X166" s="229">
        <f t="shared" si="36"/>
        <v>-1.3859344693988647</v>
      </c>
      <c r="Y166" s="229" t="str">
        <f t="shared" si="37"/>
        <v>0.0147695914445252-0.00753611518061918i</v>
      </c>
      <c r="Z166" s="226">
        <f t="shared" si="38"/>
        <v>-35.60771765047924</v>
      </c>
      <c r="AA166" s="229">
        <f t="shared" si="39"/>
        <v>-27.032735819767407</v>
      </c>
    </row>
    <row r="167" spans="6:27" ht="12.75">
      <c r="F167" s="78">
        <v>165</v>
      </c>
      <c r="G167" s="229">
        <f>10^('Small Signal'!F167/30)</f>
        <v>316227.7660168382</v>
      </c>
      <c r="H167" s="229" t="str">
        <f t="shared" si="27"/>
        <v>1986917.65315922i</v>
      </c>
      <c r="I167" s="229">
        <f>IF('Small Signal'!$B$37&gt;=1,Q167+0,N167+0)</f>
        <v>-20.112417232677554</v>
      </c>
      <c r="J167" s="229">
        <f>IF('Small Signal'!$B$37&gt;=1,R167,O167)</f>
        <v>-135.67096206347495</v>
      </c>
      <c r="K167" s="229">
        <f>IF('Small Signal'!$B$37&gt;=1,Z167+0,W167+0)</f>
        <v>-29.398464481325348</v>
      </c>
      <c r="L167" s="229">
        <f>IF('Small Signal'!$B$37&gt;=1,AA167,X167)</f>
        <v>-4.288439628846235</v>
      </c>
      <c r="M167" s="229" t="str">
        <f>IMDIV(IMSUM('Small Signal'!$B$2*'Small Signal'!$B$16*'Small Signal'!$B$38,IMPRODUCT(H167,'Small Signal'!$B$2*'Small Signal'!$B$16*'Small Signal'!$B$38*'Small Signal'!$B$13*'Small Signal'!$B$14)),IMSUM(IMPRODUCT('Small Signal'!$B$11*'Small Signal'!$B$13*('Small Signal'!$B$14+'Small Signal'!$B$16),IMPOWER(H167,2)),IMSUM(IMPRODUCT(H167,('Small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-0.0706140055094747-0.0689792246539404i</v>
      </c>
      <c r="N167" s="229">
        <f t="shared" si="28"/>
        <v>-20.112417232677554</v>
      </c>
      <c r="O167" s="229">
        <f t="shared" si="29"/>
        <v>-135.67096206347495</v>
      </c>
      <c r="P167" s="229" t="str">
        <f>IMDIV(IMSUM('Small Signal'!$B$48,IMPRODUCT(H167,'Small Signal'!$B$49)),IMSUM(IMPRODUCT('Small Signal'!$B$52,IMPOWER(H167,2)),IMSUM(IMPRODUCT(H167,'Small Signal'!$B$51),'Small Signal'!$B$50)))</f>
        <v>-0.0375228780500388-0.0138468527466974i</v>
      </c>
      <c r="Q167" s="229">
        <f t="shared" si="30"/>
        <v>-27.959609914585588</v>
      </c>
      <c r="R167" s="229">
        <f t="shared" si="31"/>
        <v>-159.74471518493314</v>
      </c>
      <c r="S167" s="229" t="str">
        <f>IMPRODUCT(IMDIV(IMSUM(IMPRODUCT(H167,'Small Signal'!$B$33*'Small Signal'!$B$6*'Small Signal'!$B$27*'Small Signal'!$B$7*'Small Signal'!$B$8),'Small Signal'!$B$33*'Small Signal'!$B$6*'Small Signal'!$B$27),IMSUM(IMSUM(IMPRODUCT(H167,('Small Signal'!$B$5+'Small Signal'!$B$6)*('Small Signal'!$B$32*'Small Signal'!$B$33)+'Small Signal'!$B$5*'Small Signal'!$B$33*('Small Signal'!$B$8+'Small Signal'!$B$9)+'Small Signal'!$B$6*'Small Signal'!$B$33*('Small Signal'!$B$8+'Small Signal'!$B$9)+'Small Signal'!$B$7*'Small Signal'!$B$8*('Small Signal'!$B$5+'Small Signal'!$B$6)),'Small Signal'!$B$6+'Small Signal'!$B$5),IMPRODUCT(IMPOWER(H167,2),'Small Signal'!$B$32*'Small Signal'!$B$33*'Small Signal'!$B$8*'Small Signal'!$B$7*('Small Signal'!$B$5+'Small Signal'!$B$6)+('Small Signal'!$B$5+'Small Signal'!$B$6)*('Small Signal'!$B$9*'Small Signal'!$B$8*'Small Signal'!$B$33*'Small Signal'!$B$7)))),-1)</f>
        <v>-0.226962256104433+0.257596507739521i</v>
      </c>
      <c r="T167" s="229">
        <f t="shared" si="32"/>
        <v>-9.286047248647778</v>
      </c>
      <c r="U167" s="229">
        <f t="shared" si="33"/>
        <v>131.38252243462873</v>
      </c>
      <c r="V167" s="229" t="str">
        <f t="shared" si="34"/>
        <v>0.0337955213804361-0.00253424076494714i</v>
      </c>
      <c r="W167" s="226">
        <f t="shared" si="35"/>
        <v>-29.398464481325348</v>
      </c>
      <c r="X167" s="229">
        <f t="shared" si="36"/>
        <v>-4.288439628846235</v>
      </c>
      <c r="Y167" s="229" t="str">
        <f t="shared" si="37"/>
        <v>0.012083177968501-0.00652304940668962i</v>
      </c>
      <c r="Z167" s="226">
        <f t="shared" si="38"/>
        <v>-37.24565716323334</v>
      </c>
      <c r="AA167" s="229">
        <f t="shared" si="39"/>
        <v>-28.362192750304363</v>
      </c>
    </row>
    <row r="168" spans="6:27" ht="12.75">
      <c r="F168" s="78">
        <v>166</v>
      </c>
      <c r="G168" s="229">
        <f>10^('Small Signal'!F168/30)</f>
        <v>341454.88738336053</v>
      </c>
      <c r="H168" s="229" t="str">
        <f t="shared" si="27"/>
        <v>2145424.33147179i</v>
      </c>
      <c r="I168" s="229">
        <f>IF('Small Signal'!$B$37&gt;=1,Q168+0,N168+0)</f>
        <v>-21.257761391769023</v>
      </c>
      <c r="J168" s="229">
        <f>IF('Small Signal'!$B$37&gt;=1,R168,O168)</f>
        <v>-136.2716898724669</v>
      </c>
      <c r="K168" s="229">
        <f>IF('Small Signal'!$B$37&gt;=1,Z168+0,W168+0)</f>
        <v>-30.92418798207067</v>
      </c>
      <c r="L168" s="229">
        <f>IF('Small Signal'!$B$37&gt;=1,AA168,X168)</f>
        <v>-7.0169799429991375</v>
      </c>
      <c r="M168" s="229" t="str">
        <f>IMDIV(IMSUM('Small Signal'!$B$2*'Small Signal'!$B$16*'Small Signal'!$B$38,IMPRODUCT(H168,'Small Signal'!$B$2*'Small Signal'!$B$16*'Small Signal'!$B$38*'Small Signal'!$B$13*'Small Signal'!$B$14)),IMSUM(IMPRODUCT('Small Signal'!$B$11*'Small Signal'!$B$13*('Small Signal'!$B$14+'Small Signal'!$B$16),IMPOWER(H168,2)),IMSUM(IMPRODUCT(H168,('Small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-0.0625209152446282-0.0598054149737277i</v>
      </c>
      <c r="N168" s="229">
        <f t="shared" si="28"/>
        <v>-21.257761391769023</v>
      </c>
      <c r="O168" s="229">
        <f t="shared" si="29"/>
        <v>-136.2716898724669</v>
      </c>
      <c r="P168" s="229" t="str">
        <f>IMDIV(IMSUM('Small Signal'!$B$48,IMPRODUCT(H168,'Small Signal'!$B$49)),IMSUM(IMPRODUCT('Small Signal'!$B$52,IMPOWER(H168,2)),IMSUM(IMPRODUCT(H168,'Small Signal'!$B$51),'Small Signal'!$B$50)))</f>
        <v>-0.0322025312077108-0.0124693709415783i</v>
      </c>
      <c r="Q168" s="229">
        <f t="shared" si="30"/>
        <v>-29.23545899583189</v>
      </c>
      <c r="R168" s="229">
        <f t="shared" si="31"/>
        <v>-158.8327443885666</v>
      </c>
      <c r="S168" s="229" t="str">
        <f>IMPRODUCT(IMDIV(IMSUM(IMPRODUCT(H168,'Small Signal'!$B$33*'Small Signal'!$B$6*'Small Signal'!$B$27*'Small Signal'!$B$7*'Small Signal'!$B$8),'Small Signal'!$B$33*'Small Signal'!$B$6*'Small Signal'!$B$27),IMSUM(IMSUM(IMPRODUCT(H168,('Small Signal'!$B$5+'Small Signal'!$B$6)*('Small Signal'!$B$32*'Small Signal'!$B$33)+'Small Signal'!$B$5*'Small Signal'!$B$33*('Small Signal'!$B$8+'Small Signal'!$B$9)+'Small Signal'!$B$6*'Small Signal'!$B$33*('Small Signal'!$B$8+'Small Signal'!$B$9)+'Small Signal'!$B$7*'Small Signal'!$B$8*('Small Signal'!$B$5+'Small Signal'!$B$6)),'Small Signal'!$B$6+'Small Signal'!$B$5),IMPRODUCT(IMPOWER(H168,2),'Small Signal'!$B$32*'Small Signal'!$B$33*'Small Signal'!$B$8*'Small Signal'!$B$7*('Small Signal'!$B$5+'Small Signal'!$B$6)+('Small Signal'!$B$5+'Small Signal'!$B$6)*('Small Signal'!$B$9*'Small Signal'!$B$8*'Small Signal'!$B$33*'Small Signal'!$B$7)))),-1)</f>
        <v>-0.207933208166637+0.25445484136874i</v>
      </c>
      <c r="T168" s="229">
        <f t="shared" si="32"/>
        <v>-9.66642659030165</v>
      </c>
      <c r="U168" s="229">
        <f t="shared" si="33"/>
        <v>129.25470992946777</v>
      </c>
      <c r="V168" s="229" t="str">
        <f t="shared" si="34"/>
        <v>0.0282179518644615-0.00347321776957608i</v>
      </c>
      <c r="W168" s="226">
        <f t="shared" si="35"/>
        <v>-30.92418798207067</v>
      </c>
      <c r="X168" s="229">
        <f t="shared" si="36"/>
        <v>-7.0169799429991375</v>
      </c>
      <c r="Y168" s="229" t="str">
        <f t="shared" si="37"/>
        <v>0.00986886743001284-0.00560129366642774i</v>
      </c>
      <c r="Z168" s="226">
        <f t="shared" si="38"/>
        <v>-38.90188558613354</v>
      </c>
      <c r="AA168" s="229">
        <f t="shared" si="39"/>
        <v>-29.578034459098816</v>
      </c>
    </row>
    <row r="169" spans="6:27" ht="12.75">
      <c r="F169" s="78">
        <v>167</v>
      </c>
      <c r="G169" s="229">
        <f>10^('Small Signal'!F169/30)</f>
        <v>368694.50645195803</v>
      </c>
      <c r="H169" s="229" t="str">
        <f t="shared" si="27"/>
        <v>2316575.90577677i</v>
      </c>
      <c r="I169" s="229">
        <f>IF('Small Signal'!$B$37&gt;=1,Q169+0,N169+0)</f>
        <v>-22.410338742399297</v>
      </c>
      <c r="J169" s="229">
        <f>IF('Small Signal'!$B$37&gt;=1,R169,O169)</f>
        <v>-136.70660516771324</v>
      </c>
      <c r="K169" s="229">
        <f>IF('Small Signal'!$B$37&gt;=1,Z169+0,W169+0)</f>
        <v>-32.48188151283272</v>
      </c>
      <c r="L169" s="229">
        <f>IF('Small Signal'!$B$37&gt;=1,AA169,X169)</f>
        <v>-9.553744727690695</v>
      </c>
      <c r="M169" s="229" t="str">
        <f>IMDIV(IMSUM('Small Signal'!$B$2*'Small Signal'!$B$16*'Small Signal'!$B$38,IMPRODUCT(H169,'Small Signal'!$B$2*'Small Signal'!$B$16*'Small Signal'!$B$38*'Small Signal'!$B$13*'Small Signal'!$B$14)),IMSUM(IMPRODUCT('Small Signal'!$B$11*'Small Signal'!$B$13*('Small Signal'!$B$14+'Small Signal'!$B$16),IMPOWER(H169,2)),IMSUM(IMPRODUCT(H169,('Small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-0.0551475257771813-0.0519563974790115i</v>
      </c>
      <c r="N169" s="229">
        <f t="shared" si="28"/>
        <v>-22.410338742399297</v>
      </c>
      <c r="O169" s="229">
        <f t="shared" si="29"/>
        <v>-136.70660516771324</v>
      </c>
      <c r="P169" s="229" t="str">
        <f>IMDIV(IMSUM('Small Signal'!$B$48,IMPRODUCT(H169,'Small Signal'!$B$49)),IMSUM(IMPRODUCT('Small Signal'!$B$52,IMPOWER(H169,2)),IMSUM(IMPRODUCT(H169,'Small Signal'!$B$51),'Small Signal'!$B$50)))</f>
        <v>-0.027634197693093-0.0112663167237938i</v>
      </c>
      <c r="Q169" s="229">
        <f t="shared" si="30"/>
        <v>-30.5032765970683</v>
      </c>
      <c r="R169" s="229">
        <f t="shared" si="31"/>
        <v>-157.81953676792205</v>
      </c>
      <c r="S169" s="229" t="str">
        <f>IMPRODUCT(IMDIV(IMSUM(IMPRODUCT(H169,'Small Signal'!$B$33*'Small Signal'!$B$6*'Small Signal'!$B$27*'Small Signal'!$B$7*'Small Signal'!$B$8),'Small Signal'!$B$33*'Small Signal'!$B$6*'Small Signal'!$B$27),IMSUM(IMSUM(IMPRODUCT(H169,('Small Signal'!$B$5+'Small Signal'!$B$6)*('Small Signal'!$B$32*'Small Signal'!$B$33)+'Small Signal'!$B$5*'Small Signal'!$B$33*('Small Signal'!$B$8+'Small Signal'!$B$9)+'Small Signal'!$B$6*'Small Signal'!$B$33*('Small Signal'!$B$8+'Small Signal'!$B$9)+'Small Signal'!$B$7*'Small Signal'!$B$8*('Small Signal'!$B$5+'Small Signal'!$B$6)),'Small Signal'!$B$6+'Small Signal'!$B$5),IMPRODUCT(IMPOWER(H169,2),'Small Signal'!$B$32*'Small Signal'!$B$33*'Small Signal'!$B$8*'Small Signal'!$B$7*('Small Signal'!$B$5+'Small Signal'!$B$6)+('Small Signal'!$B$5+'Small Signal'!$B$6)*('Small Signal'!$B$9*'Small Signal'!$B$8*'Small Signal'!$B$33*'Small Signal'!$B$7)))),-1)</f>
        <v>-0.18941711838061+0.249974631572102i</v>
      </c>
      <c r="T169" s="229">
        <f t="shared" si="32"/>
        <v>-10.071542770433428</v>
      </c>
      <c r="U169" s="229">
        <f t="shared" si="33"/>
        <v>127.15286044002254</v>
      </c>
      <c r="V169" s="229" t="str">
        <f t="shared" si="34"/>
        <v>0.0234336667361637-0.00394405134635195i</v>
      </c>
      <c r="W169" s="226">
        <f t="shared" si="35"/>
        <v>-32.48188151283272</v>
      </c>
      <c r="X169" s="229">
        <f t="shared" si="36"/>
        <v>-9.553744727690695</v>
      </c>
      <c r="Y169" s="229" t="str">
        <f t="shared" si="37"/>
        <v>0.00805068346799074-0.00477381513853726i</v>
      </c>
      <c r="Z169" s="226">
        <f t="shared" si="38"/>
        <v>-40.574819367501725</v>
      </c>
      <c r="AA169" s="229">
        <f t="shared" si="39"/>
        <v>-30.666676327899552</v>
      </c>
    </row>
    <row r="170" spans="6:27" ht="12.75">
      <c r="F170" s="78">
        <v>168</v>
      </c>
      <c r="G170" s="229">
        <f>10^('Small Signal'!F170/30)</f>
        <v>398107.17055349716</v>
      </c>
      <c r="H170" s="229" t="str">
        <f t="shared" si="27"/>
        <v>2501381.12470457i</v>
      </c>
      <c r="I170" s="229">
        <f>IF('Small Signal'!$B$37&gt;=1,Q170+0,N170+0)</f>
        <v>-23.567576837615235</v>
      </c>
      <c r="J170" s="229">
        <f>IF('Small Signal'!$B$37&gt;=1,R170,O170)</f>
        <v>-136.97215233497118</v>
      </c>
      <c r="K170" s="229">
        <f>IF('Small Signal'!$B$37&gt;=1,Z170+0,W170+0)</f>
        <v>-34.06817252601944</v>
      </c>
      <c r="L170" s="229">
        <f>IF('Small Signal'!$B$37&gt;=1,AA170,X170)</f>
        <v>-11.883471071054794</v>
      </c>
      <c r="M170" s="229" t="str">
        <f>IMDIV(IMSUM('Small Signal'!$B$2*'Small Signal'!$B$16*'Small Signal'!$B$38,IMPRODUCT(H170,'Small Signal'!$B$2*'Small Signal'!$B$16*'Small Signal'!$B$38*'Small Signal'!$B$13*'Small Signal'!$B$14)),IMSUM(IMPRODUCT('Small Signal'!$B$11*'Small Signal'!$B$13*('Small Signal'!$B$14+'Small Signal'!$B$16),IMPOWER(H170,2)),IMSUM(IMPRODUCT(H170,('Small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-0.0484787808056846-0.045251266161702i</v>
      </c>
      <c r="N170" s="229">
        <f t="shared" si="28"/>
        <v>-23.567576837615235</v>
      </c>
      <c r="O170" s="229">
        <f t="shared" si="29"/>
        <v>-136.97215233497118</v>
      </c>
      <c r="P170" s="229" t="str">
        <f>IMDIV(IMSUM('Small Signal'!$B$48,IMPRODUCT(H170,'Small Signal'!$B$49)),IMSUM(IMPRODUCT('Small Signal'!$B$52,IMPOWER(H170,2)),IMSUM(IMPRODUCT(H170,'Small Signal'!$B$51),'Small Signal'!$B$50)))</f>
        <v>-0.0237122052558653-0.0102099373609987i</v>
      </c>
      <c r="Q170" s="229">
        <f t="shared" si="30"/>
        <v>-31.76192353505495</v>
      </c>
      <c r="R170" s="229">
        <f t="shared" si="31"/>
        <v>-156.70438563547984</v>
      </c>
      <c r="S170" s="229" t="str">
        <f>IMPRODUCT(IMDIV(IMSUM(IMPRODUCT(H170,'Small Signal'!$B$33*'Small Signal'!$B$6*'Small Signal'!$B$27*'Small Signal'!$B$7*'Small Signal'!$B$8),'Small Signal'!$B$33*'Small Signal'!$B$6*'Small Signal'!$B$27),IMSUM(IMSUM(IMPRODUCT(H170,('Small Signal'!$B$5+'Small Signal'!$B$6)*('Small Signal'!$B$32*'Small Signal'!$B$33)+'Small Signal'!$B$5*'Small Signal'!$B$33*('Small Signal'!$B$8+'Small Signal'!$B$9)+'Small Signal'!$B$6*'Small Signal'!$B$33*('Small Signal'!$B$8+'Small Signal'!$B$9)+'Small Signal'!$B$7*'Small Signal'!$B$8*('Small Signal'!$B$5+'Small Signal'!$B$6)),'Small Signal'!$B$6+'Small Signal'!$B$5),IMPRODUCT(IMPOWER(H170,2),'Small Signal'!$B$32*'Small Signal'!$B$33*'Small Signal'!$B$8*'Small Signal'!$B$7*('Small Signal'!$B$5+'Small Signal'!$B$6)+('Small Signal'!$B$5+'Small Signal'!$B$6)*('Small Signal'!$B$9*'Small Signal'!$B$8*'Small Signal'!$B$33*'Small Signal'!$B$7)))),-1)</f>
        <v>-0.171601044975376+0.244266148719142i</v>
      </c>
      <c r="T170" s="229">
        <f t="shared" si="32"/>
        <v>-10.50059568840422</v>
      </c>
      <c r="U170" s="229">
        <f t="shared" si="33"/>
        <v>125.08868126391636</v>
      </c>
      <c r="V170" s="229" t="str">
        <f t="shared" si="34"/>
        <v>0.0193723619553715-0.00407656052219711i</v>
      </c>
      <c r="W170" s="226">
        <f t="shared" si="35"/>
        <v>-34.06817252601944</v>
      </c>
      <c r="X170" s="229">
        <f t="shared" si="36"/>
        <v>-11.883471071054794</v>
      </c>
      <c r="Y170" s="229" t="str">
        <f t="shared" si="37"/>
        <v>0.00656298127841192-0.0040400531352075i</v>
      </c>
      <c r="Z170" s="226">
        <f t="shared" si="38"/>
        <v>-42.26251922345917</v>
      </c>
      <c r="AA170" s="229">
        <f t="shared" si="39"/>
        <v>-31.61570437156345</v>
      </c>
    </row>
    <row r="171" spans="6:27" ht="12.75">
      <c r="F171" s="78">
        <v>169</v>
      </c>
      <c r="G171" s="229">
        <f>10^('Small Signal'!F171/30)</f>
        <v>429866.2347082285</v>
      </c>
      <c r="H171" s="229" t="str">
        <f t="shared" si="27"/>
        <v>2700929.20997135i</v>
      </c>
      <c r="I171" s="229">
        <f>IF('Small Signal'!$B$37&gt;=1,Q171+0,N171+0)</f>
        <v>-24.726861961922403</v>
      </c>
      <c r="J171" s="229">
        <f>IF('Small Signal'!$B$37&gt;=1,R171,O171)</f>
        <v>-137.06646612730137</v>
      </c>
      <c r="K171" s="229">
        <f>IF('Small Signal'!$B$37&gt;=1,Z171+0,W171+0)</f>
        <v>-35.67941942247056</v>
      </c>
      <c r="L171" s="229">
        <f>IF('Small Signal'!$B$37&gt;=1,AA171,X171)</f>
        <v>-13.993712383135282</v>
      </c>
      <c r="M171" s="229" t="str">
        <f>IMDIV(IMSUM('Small Signal'!$B$2*'Small Signal'!$B$16*'Small Signal'!$B$38,IMPRODUCT(H171,'Small Signal'!$B$2*'Small Signal'!$B$16*'Small Signal'!$B$38*'Small Signal'!$B$13*'Small Signal'!$B$14)),IMSUM(IMPRODUCT('Small Signal'!$B$11*'Small Signal'!$B$13*('Small Signal'!$B$14+'Small Signal'!$B$16),IMPOWER(H171,2)),IMSUM(IMPRODUCT(H171,('Small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-0.0424867611396273-0.0395274992654051i</v>
      </c>
      <c r="N171" s="229">
        <f t="shared" si="28"/>
        <v>-24.726861961922403</v>
      </c>
      <c r="O171" s="229">
        <f t="shared" si="29"/>
        <v>-137.06646612730137</v>
      </c>
      <c r="P171" s="229" t="str">
        <f>IMDIV(IMSUM('Small Signal'!$B$48,IMPRODUCT(H171,'Small Signal'!$B$49)),IMSUM(IMPRODUCT('Small Signal'!$B$52,IMPOWER(H171,2)),IMSUM(IMPRODUCT(H171,'Small Signal'!$B$51),'Small Signal'!$B$50)))</f>
        <v>-0.0203455659561659-0.00927756328788907i</v>
      </c>
      <c r="Q171" s="229">
        <f t="shared" si="30"/>
        <v>-33.01016763227585</v>
      </c>
      <c r="R171" s="229">
        <f t="shared" si="31"/>
        <v>-155.4870486697452</v>
      </c>
      <c r="S171" s="229" t="str">
        <f>IMPRODUCT(IMDIV(IMSUM(IMPRODUCT(H171,'Small Signal'!$B$33*'Small Signal'!$B$6*'Small Signal'!$B$27*'Small Signal'!$B$7*'Small Signal'!$B$8),'Small Signal'!$B$33*'Small Signal'!$B$6*'Small Signal'!$B$27),IMSUM(IMSUM(IMPRODUCT(H171,('Small Signal'!$B$5+'Small Signal'!$B$6)*('Small Signal'!$B$32*'Small Signal'!$B$33)+'Small Signal'!$B$5*'Small Signal'!$B$33*('Small Signal'!$B$8+'Small Signal'!$B$9)+'Small Signal'!$B$6*'Small Signal'!$B$33*('Small Signal'!$B$8+'Small Signal'!$B$9)+'Small Signal'!$B$7*'Small Signal'!$B$8*('Small Signal'!$B$5+'Small Signal'!$B$6)),'Small Signal'!$B$6+'Small Signal'!$B$5),IMPRODUCT(IMPOWER(H171,2),'Small Signal'!$B$32*'Small Signal'!$B$33*'Small Signal'!$B$8*'Small Signal'!$B$7*('Small Signal'!$B$5+'Small Signal'!$B$6)+('Small Signal'!$B$5+'Small Signal'!$B$6)*('Small Signal'!$B$9*'Small Signal'!$B$8*'Small Signal'!$B$33*'Small Signal'!$B$7)))),-1)</f>
        <v>-0.154642510886428+0.237467897125563i</v>
      </c>
      <c r="T171" s="229">
        <f t="shared" si="32"/>
        <v>-10.952557460548178</v>
      </c>
      <c r="U171" s="229">
        <f t="shared" si="33"/>
        <v>123.07275374416604</v>
      </c>
      <c r="V171" s="229" t="str">
        <f t="shared" si="34"/>
        <v>0.0159567715512519-0.0039766100880397i</v>
      </c>
      <c r="W171" s="226">
        <f t="shared" si="35"/>
        <v>-35.67941942247056</v>
      </c>
      <c r="X171" s="229">
        <f t="shared" si="36"/>
        <v>-13.993712383135282</v>
      </c>
      <c r="Y171" s="229" t="str">
        <f t="shared" si="37"/>
        <v>0.00534941284929127-0.00339671308169325i</v>
      </c>
      <c r="Z171" s="226">
        <f t="shared" si="38"/>
        <v>-43.96272509282403</v>
      </c>
      <c r="AA171" s="229">
        <f t="shared" si="39"/>
        <v>-32.414294925579135</v>
      </c>
    </row>
    <row r="172" spans="6:27" ht="12.75">
      <c r="F172" s="78">
        <v>170</v>
      </c>
      <c r="G172" s="229">
        <f>10^('Small Signal'!F172/30)</f>
        <v>464158.88336127886</v>
      </c>
      <c r="H172" s="229" t="str">
        <f t="shared" si="27"/>
        <v>2916396.27613247i</v>
      </c>
      <c r="I172" s="229">
        <f>IF('Small Signal'!$B$37&gt;=1,Q172+0,N172+0)</f>
        <v>-25.885563087652812</v>
      </c>
      <c r="J172" s="229">
        <f>IF('Small Signal'!$B$37&gt;=1,R172,O172)</f>
        <v>-136.9893650511341</v>
      </c>
      <c r="K172" s="229">
        <f>IF('Small Signal'!$B$37&gt;=1,Z172+0,W172+0)</f>
        <v>-37.31177754165043</v>
      </c>
      <c r="L172" s="229">
        <f>IF('Small Signal'!$B$37&gt;=1,AA172,X172)</f>
        <v>-15.875037680869307</v>
      </c>
      <c r="M172" s="229" t="str">
        <f>IMDIV(IMSUM('Small Signal'!$B$2*'Small Signal'!$B$16*'Small Signal'!$B$38,IMPRODUCT(H172,'Small Signal'!$B$2*'Small Signal'!$B$16*'Small Signal'!$B$38*'Small Signal'!$B$13*'Small Signal'!$B$14)),IMSUM(IMPRODUCT('Small Signal'!$B$11*'Small Signal'!$B$13*('Small Signal'!$B$14+'Small Signal'!$B$16),IMPOWER(H172,2)),IMSUM(IMPRODUCT(H172,('Small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-0.037134204435751-0.0346410944898281i</v>
      </c>
      <c r="N172" s="229">
        <f t="shared" si="28"/>
        <v>-25.885563087652812</v>
      </c>
      <c r="O172" s="229">
        <f t="shared" si="29"/>
        <v>-136.9893650511341</v>
      </c>
      <c r="P172" s="229" t="str">
        <f>IMDIV(IMSUM('Small Signal'!$B$48,IMPRODUCT(H172,'Small Signal'!$B$49)),IMSUM(IMPRODUCT('Small Signal'!$B$52,IMPOWER(H172,2)),IMSUM(IMPRODUCT(H172,'Small Signal'!$B$51),'Small Signal'!$B$50)))</f>
        <v>-0.0174559793422194-0.00845061664724503i</v>
      </c>
      <c r="Q172" s="229">
        <f t="shared" si="30"/>
        <v>-34.24668796280345</v>
      </c>
      <c r="R172" s="229">
        <f t="shared" si="31"/>
        <v>-154.1679051370809</v>
      </c>
      <c r="S172" s="229" t="str">
        <f>IMPRODUCT(IMDIV(IMSUM(IMPRODUCT(H172,'Small Signal'!$B$33*'Small Signal'!$B$6*'Small Signal'!$B$27*'Small Signal'!$B$7*'Small Signal'!$B$8),'Small Signal'!$B$33*'Small Signal'!$B$6*'Small Signal'!$B$27),IMSUM(IMSUM(IMPRODUCT(H172,('Small Signal'!$B$5+'Small Signal'!$B$6)*('Small Signal'!$B$32*'Small Signal'!$B$33)+'Small Signal'!$B$5*'Small Signal'!$B$33*('Small Signal'!$B$8+'Small Signal'!$B$9)+'Small Signal'!$B$6*'Small Signal'!$B$33*('Small Signal'!$B$8+'Small Signal'!$B$9)+'Small Signal'!$B$7*'Small Signal'!$B$8*('Small Signal'!$B$5+'Small Signal'!$B$6)),'Small Signal'!$B$6+'Small Signal'!$B$5),IMPRODUCT(IMPOWER(H172,2),'Small Signal'!$B$32*'Small Signal'!$B$33*'Small Signal'!$B$8*'Small Signal'!$B$7*('Small Signal'!$B$5+'Small Signal'!$B$6)+('Small Signal'!$B$5+'Small Signal'!$B$6)*('Small Signal'!$B$9*'Small Signal'!$B$8*'Small Signal'!$B$33*'Small Signal'!$B$7)))),-1)</f>
        <v>-0.13866523859034+0.229738085255872i</v>
      </c>
      <c r="T172" s="229">
        <f t="shared" si="32"/>
        <v>-11.426214453997602</v>
      </c>
      <c r="U172" s="229">
        <f t="shared" si="33"/>
        <v>121.11432737026482</v>
      </c>
      <c r="V172" s="229" t="str">
        <f t="shared" si="34"/>
        <v>0.0131076020372067-0.00372762539210702i</v>
      </c>
      <c r="W172" s="226">
        <f t="shared" si="35"/>
        <v>-37.31177754165043</v>
      </c>
      <c r="X172" s="229">
        <f t="shared" si="36"/>
        <v>-15.875037680869307</v>
      </c>
      <c r="Y172" s="229" t="str">
        <f t="shared" si="37"/>
        <v>0.00436196602808637-0.00283849649672181i</v>
      </c>
      <c r="Z172" s="226">
        <f t="shared" si="38"/>
        <v>-45.67290241680105</v>
      </c>
      <c r="AA172" s="229">
        <f t="shared" si="39"/>
        <v>-33.05357776681608</v>
      </c>
    </row>
    <row r="173" spans="6:27" ht="12.75">
      <c r="F173" s="78">
        <v>171</v>
      </c>
      <c r="G173" s="229">
        <f>10^('Small Signal'!F173/30)</f>
        <v>501187.23362727347</v>
      </c>
      <c r="H173" s="229" t="str">
        <f t="shared" si="27"/>
        <v>3149052.26247287i</v>
      </c>
      <c r="I173" s="229">
        <f>IF('Small Signal'!$B$37&gt;=1,Q173+0,N173+0)</f>
        <v>-27.04105458118617</v>
      </c>
      <c r="J173" s="229">
        <f>IF('Small Signal'!$B$37&gt;=1,R173,O173)</f>
        <v>-136.74235087758393</v>
      </c>
      <c r="K173" s="229">
        <f>IF('Small Signal'!$B$37&gt;=1,Z173+0,W173+0)</f>
        <v>-38.96126778733711</v>
      </c>
      <c r="L173" s="229">
        <f>IF('Small Signal'!$B$37&gt;=1,AA173,X173)</f>
        <v>-17.521161135263707</v>
      </c>
      <c r="M173" s="229" t="str">
        <f>IMDIV(IMSUM('Small Signal'!$B$2*'Small Signal'!$B$16*'Small Signal'!$B$38,IMPRODUCT(H173,'Small Signal'!$B$2*'Small Signal'!$B$16*'Small Signal'!$B$38*'Small Signal'!$B$13*'Small Signal'!$B$14)),IMSUM(IMPRODUCT('Small Signal'!$B$11*'Small Signal'!$B$13*('Small Signal'!$B$14+'Small Signal'!$B$16),IMPOWER(H173,2)),IMSUM(IMPRODUCT(H173,('Small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-0.0323776519526107-0.030466002235632i</v>
      </c>
      <c r="N173" s="229">
        <f t="shared" si="28"/>
        <v>-27.04105458118617</v>
      </c>
      <c r="O173" s="229">
        <f t="shared" si="29"/>
        <v>-136.74235087758393</v>
      </c>
      <c r="P173" s="229" t="str">
        <f>IMDIV(IMSUM('Small Signal'!$B$48,IMPRODUCT(H173,'Small Signal'!$B$49)),IMSUM(IMPRODUCT('Small Signal'!$B$52,IMPOWER(H173,2)),IMSUM(IMPRODUCT(H173,'Small Signal'!$B$51),'Small Signal'!$B$50)))</f>
        <v>-0.0149760954601431-0.00771381726916907i</v>
      </c>
      <c r="Q173" s="229">
        <f t="shared" si="30"/>
        <v>-35.47008402726709</v>
      </c>
      <c r="R173" s="229">
        <f t="shared" si="31"/>
        <v>-152.74812148223407</v>
      </c>
      <c r="S173" s="229" t="str">
        <f>IMPRODUCT(IMDIV(IMSUM(IMPRODUCT(H173,'Small Signal'!$B$33*'Small Signal'!$B$6*'Small Signal'!$B$27*'Small Signal'!$B$7*'Small Signal'!$B$8),'Small Signal'!$B$33*'Small Signal'!$B$6*'Small Signal'!$B$27),IMSUM(IMSUM(IMPRODUCT(H173,('Small Signal'!$B$5+'Small Signal'!$B$6)*('Small Signal'!$B$32*'Small Signal'!$B$33)+'Small Signal'!$B$5*'Small Signal'!$B$33*('Small Signal'!$B$8+'Small Signal'!$B$9)+'Small Signal'!$B$6*'Small Signal'!$B$33*('Small Signal'!$B$8+'Small Signal'!$B$9)+'Small Signal'!$B$7*'Small Signal'!$B$8*('Small Signal'!$B$5+'Small Signal'!$B$6)),'Small Signal'!$B$6+'Small Signal'!$B$5),IMPRODUCT(IMPOWER(H173,2),'Small Signal'!$B$32*'Small Signal'!$B$33*'Small Signal'!$B$8*'Small Signal'!$B$7*('Small Signal'!$B$5+'Small Signal'!$B$6)+('Small Signal'!$B$5+'Small Signal'!$B$6)*('Small Signal'!$B$9*'Small Signal'!$B$8*'Small Signal'!$B$33*'Small Signal'!$B$7)))),-1)</f>
        <v>-0.123757495104166+0.22124578888208i</v>
      </c>
      <c r="T173" s="229">
        <f t="shared" si="32"/>
        <v>-11.920213206150923</v>
      </c>
      <c r="U173" s="229">
        <f t="shared" si="33"/>
        <v>119.22118974232025</v>
      </c>
      <c r="V173" s="229" t="str">
        <f t="shared" si="34"/>
        <v>0.0107474518017152-0.00339302302588503i</v>
      </c>
      <c r="W173" s="226">
        <f t="shared" si="35"/>
        <v>-38.96126778733711</v>
      </c>
      <c r="X173" s="229">
        <f t="shared" si="36"/>
        <v>-17.521161135263707</v>
      </c>
      <c r="Y173" s="229" t="str">
        <f t="shared" si="37"/>
        <v>0.00356005364759771-0.00235875535152907i</v>
      </c>
      <c r="Z173" s="226">
        <f t="shared" si="38"/>
        <v>-47.39029723341801</v>
      </c>
      <c r="AA173" s="229">
        <f t="shared" si="39"/>
        <v>-33.526931739913714</v>
      </c>
    </row>
    <row r="174" spans="6:27" ht="12.75">
      <c r="F174" s="78">
        <v>172</v>
      </c>
      <c r="G174" s="229">
        <f>10^('Small Signal'!F174/30)</f>
        <v>541169.5265464642</v>
      </c>
      <c r="H174" s="229" t="str">
        <f t="shared" si="27"/>
        <v>3400268.41789008i</v>
      </c>
      <c r="I174" s="229">
        <f>IF('Small Signal'!$B$37&gt;=1,Q174+0,N174+0)</f>
        <v>-28.190739288981096</v>
      </c>
      <c r="J174" s="229">
        <f>IF('Small Signal'!$B$37&gt;=1,R174,O174)</f>
        <v>-136.32861562775167</v>
      </c>
      <c r="K174" s="229">
        <f>IF('Small Signal'!$B$37&gt;=1,Z174+0,W174+0)</f>
        <v>-40.6238461969129</v>
      </c>
      <c r="L174" s="229">
        <f>IF('Small Signal'!$B$37&gt;=1,AA174,X174)</f>
        <v>-18.92900413922414</v>
      </c>
      <c r="M174" s="229" t="str">
        <f>IMDIV(IMSUM('Small Signal'!$B$2*'Small Signal'!$B$16*'Small Signal'!$B$38,IMPRODUCT(H174,'Small Signal'!$B$2*'Small Signal'!$B$16*'Small Signal'!$B$38*'Small Signal'!$B$13*'Small Signal'!$B$14)),IMSUM(IMPRODUCT('Small Signal'!$B$11*'Small Signal'!$B$13*('Small Signal'!$B$14+'Small Signal'!$B$16),IMPOWER(H174,2)),IMSUM(IMPRODUCT(H174,('Small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-0.0281701247731866-0.0268930514425276i</v>
      </c>
      <c r="N174" s="229">
        <f t="shared" si="28"/>
        <v>-28.190739288981096</v>
      </c>
      <c r="O174" s="229">
        <f t="shared" si="29"/>
        <v>-136.32861562775167</v>
      </c>
      <c r="P174" s="229" t="str">
        <f>IMDIV(IMSUM('Small Signal'!$B$48,IMPRODUCT(H174,'Small Signal'!$B$49)),IMSUM(IMPRODUCT('Small Signal'!$B$52,IMPOWER(H174,2)),IMSUM(IMPRODUCT(H174,'Small Signal'!$B$51),'Small Signal'!$B$50)))</f>
        <v>-0.0128480070728422-0.00705454674668867i</v>
      </c>
      <c r="Q174" s="229">
        <f t="shared" si="30"/>
        <v>-36.67889069998305</v>
      </c>
      <c r="R174" s="229">
        <f t="shared" si="31"/>
        <v>-151.22981863403308</v>
      </c>
      <c r="S174" s="229" t="str">
        <f>IMPRODUCT(IMDIV(IMSUM(IMPRODUCT(H174,'Small Signal'!$B$33*'Small Signal'!$B$6*'Small Signal'!$B$27*'Small Signal'!$B$7*'Small Signal'!$B$8),'Small Signal'!$B$33*'Small Signal'!$B$6*'Small Signal'!$B$27),IMSUM(IMSUM(IMPRODUCT(H174,('Small Signal'!$B$5+'Small Signal'!$B$6)*('Small Signal'!$B$32*'Small Signal'!$B$33)+'Small Signal'!$B$5*'Small Signal'!$B$33*('Small Signal'!$B$8+'Small Signal'!$B$9)+'Small Signal'!$B$6*'Small Signal'!$B$33*('Small Signal'!$B$8+'Small Signal'!$B$9)+'Small Signal'!$B$7*'Small Signal'!$B$8*('Small Signal'!$B$5+'Small Signal'!$B$6)),'Small Signal'!$B$6+'Small Signal'!$B$5),IMPRODUCT(IMPOWER(H174,2),'Small Signal'!$B$32*'Small Signal'!$B$33*'Small Signal'!$B$8*'Small Signal'!$B$7*('Small Signal'!$B$5+'Small Signal'!$B$6)+('Small Signal'!$B$5+'Small Signal'!$B$6)*('Small Signal'!$B$9*'Small Signal'!$B$8*'Small Signal'!$B$33*'Small Signal'!$B$7)))),-1)</f>
        <v>-0.109972825795062+0.21216260921809i</v>
      </c>
      <c r="T174" s="229">
        <f t="shared" si="32"/>
        <v>-12.433106907931805</v>
      </c>
      <c r="U174" s="229">
        <f t="shared" si="33"/>
        <v>117.39961148852754</v>
      </c>
      <c r="V174" s="229" t="str">
        <f t="shared" si="34"/>
        <v>0.00880364818818978-0.0030191423124917i</v>
      </c>
      <c r="W174" s="226">
        <f t="shared" si="35"/>
        <v>-40.6238461969129</v>
      </c>
      <c r="X174" s="229">
        <f t="shared" si="36"/>
        <v>-18.92900413922414</v>
      </c>
      <c r="Y174" s="229" t="str">
        <f t="shared" si="37"/>
        <v>0.00290964268826386-0.00195005826338996i</v>
      </c>
      <c r="Z174" s="226">
        <f t="shared" si="38"/>
        <v>-49.11199760791486</v>
      </c>
      <c r="AA174" s="229">
        <f t="shared" si="39"/>
        <v>-33.83020714550547</v>
      </c>
    </row>
    <row r="175" spans="6:27" ht="12.75">
      <c r="F175" s="78">
        <v>173</v>
      </c>
      <c r="G175" s="229">
        <f>10^('Small Signal'!F175/30)</f>
        <v>584341.4133735183</v>
      </c>
      <c r="H175" s="229" t="str">
        <f t="shared" si="27"/>
        <v>3671525.38288504i</v>
      </c>
      <c r="I175" s="229">
        <f>IF('Small Signal'!$B$37&gt;=1,Q175+0,N175+0)</f>
        <v>-29.332073573560283</v>
      </c>
      <c r="J175" s="229">
        <f>IF('Small Signal'!$B$37&gt;=1,R175,O175)</f>
        <v>-135.75305251280324</v>
      </c>
      <c r="K175" s="229">
        <f>IF('Small Signal'!$B$37&gt;=1,Z175+0,W175+0)</f>
        <v>-42.295473154454</v>
      </c>
      <c r="L175" s="229">
        <f>IF('Small Signal'!$B$37&gt;=1,AA175,X175)</f>
        <v>-20.098693482603863</v>
      </c>
      <c r="M175" s="229" t="str">
        <f>IMDIV(IMSUM('Small Signal'!$B$2*'Small Signal'!$B$16*'Small Signal'!$B$38,IMPRODUCT(H175,'Small Signal'!$B$2*'Small Signal'!$B$16*'Small Signal'!$B$38*'Small Signal'!$B$13*'Small Signal'!$B$14)),IMSUM(IMPRODUCT('Small Signal'!$B$11*'Small Signal'!$B$13*('Small Signal'!$B$14+'Small Signal'!$B$16),IMPOWER(H175,2)),IMSUM(IMPRODUCT(H175,('Small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-0.0244632970743271-0.0238285489225355i</v>
      </c>
      <c r="N175" s="229">
        <f t="shared" si="28"/>
        <v>-29.332073573560283</v>
      </c>
      <c r="O175" s="229">
        <f t="shared" si="29"/>
        <v>-135.75305251280324</v>
      </c>
      <c r="P175" s="229" t="str">
        <f>IMDIV(IMSUM('Small Signal'!$B$48,IMPRODUCT(H175,'Small Signal'!$B$49)),IMSUM(IMPRODUCT('Small Signal'!$B$52,IMPOWER(H175,2)),IMSUM(IMPRODUCT(H175,'Small Signal'!$B$51),'Small Signal'!$B$50)))</f>
        <v>-0.0110219431721304-0.00646233901531187i</v>
      </c>
      <c r="Q175" s="229">
        <f t="shared" si="30"/>
        <v>-37.871599605598895</v>
      </c>
      <c r="R175" s="229">
        <f t="shared" si="31"/>
        <v>-149.61623191892747</v>
      </c>
      <c r="S175" s="229" t="str">
        <f>IMPRODUCT(IMDIV(IMSUM(IMPRODUCT(H175,'Small Signal'!$B$33*'Small Signal'!$B$6*'Small Signal'!$B$27*'Small Signal'!$B$7*'Small Signal'!$B$8),'Small Signal'!$B$33*'Small Signal'!$B$6*'Small Signal'!$B$27),IMSUM(IMSUM(IMPRODUCT(H175,('Small Signal'!$B$5+'Small Signal'!$B$6)*('Small Signal'!$B$32*'Small Signal'!$B$33)+'Small Signal'!$B$5*'Small Signal'!$B$33*('Small Signal'!$B$8+'Small Signal'!$B$9)+'Small Signal'!$B$6*'Small Signal'!$B$33*('Small Signal'!$B$8+'Small Signal'!$B$9)+'Small Signal'!$B$7*'Small Signal'!$B$8*('Small Signal'!$B$5+'Small Signal'!$B$6)),'Small Signal'!$B$6+'Small Signal'!$B$5),IMPRODUCT(IMPOWER(H175,2),'Small Signal'!$B$32*'Small Signal'!$B$33*'Small Signal'!$B$8*'Small Signal'!$B$7*('Small Signal'!$B$5+'Small Signal'!$B$6)+('Small Signal'!$B$5+'Small Signal'!$B$6)*('Small Signal'!$B$9*'Small Signal'!$B$8*'Small Signal'!$B$33*'Small Signal'!$B$7)))),-1)</f>
        <v>-0.0973327289172764+0.202655437896931i</v>
      </c>
      <c r="T175" s="229">
        <f t="shared" si="32"/>
        <v>-12.963399580893721</v>
      </c>
      <c r="U175" s="229">
        <f t="shared" si="33"/>
        <v>115.65435903019933</v>
      </c>
      <c r="V175" s="229" t="str">
        <f t="shared" si="34"/>
        <v>0.00721006447890316-0.00263832248823126i</v>
      </c>
      <c r="W175" s="226">
        <f t="shared" si="35"/>
        <v>-42.295473154454</v>
      </c>
      <c r="X175" s="229">
        <f t="shared" si="36"/>
        <v>-20.098693482603863</v>
      </c>
      <c r="Y175" s="229" t="str">
        <f t="shared" si="37"/>
        <v>0.00238242394990104-0.00160465962847429i</v>
      </c>
      <c r="Z175" s="226">
        <f t="shared" si="38"/>
        <v>-50.834999186492624</v>
      </c>
      <c r="AA175" s="229">
        <f t="shared" si="39"/>
        <v>-33.961872888728216</v>
      </c>
    </row>
    <row r="176" spans="6:27" ht="12.75">
      <c r="F176" s="78">
        <v>174</v>
      </c>
      <c r="G176" s="229">
        <f>10^('Small Signal'!F176/30)</f>
        <v>630957.3444801942</v>
      </c>
      <c r="H176" s="229" t="str">
        <f t="shared" si="27"/>
        <v>3964421.916295i</v>
      </c>
      <c r="I176" s="229">
        <f>IF('Small Signal'!$B$37&gt;=1,Q176+0,N176+0)</f>
        <v>-30.462595549481616</v>
      </c>
      <c r="J176" s="229">
        <f>IF('Small Signal'!$B$37&gt;=1,R176,O176)</f>
        <v>-135.02226282047218</v>
      </c>
      <c r="K176" s="229">
        <f>IF('Small Signal'!$B$37&gt;=1,Z176+0,W176+0)</f>
        <v>-43.972181308755445</v>
      </c>
      <c r="L176" s="229">
        <f>IF('Small Signal'!$B$37&gt;=1,AA176,X176)</f>
        <v>-21.033499038383965</v>
      </c>
      <c r="M176" s="229" t="str">
        <f>IMDIV(IMSUM('Small Signal'!$B$2*'Small Signal'!$B$16*'Small Signal'!$B$38,IMPRODUCT(H176,'Small Signal'!$B$2*'Small Signal'!$B$16*'Small Signal'!$B$38*'Small Signal'!$B$13*'Small Signal'!$B$14)),IMSUM(IMPRODUCT('Small Signal'!$B$11*'Small Signal'!$B$13*('Small Signal'!$B$14+'Small Signal'!$B$16),IMPOWER(H176,2)),IMSUM(IMPRODUCT(H176,('Small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-0.021209181487895-0.0211927058301664i</v>
      </c>
      <c r="N176" s="229">
        <f t="shared" si="28"/>
        <v>-30.462595549481616</v>
      </c>
      <c r="O176" s="229">
        <f t="shared" si="29"/>
        <v>-135.02226282047218</v>
      </c>
      <c r="P176" s="229" t="str">
        <f>IMDIV(IMSUM('Small Signal'!$B$48,IMPRODUCT(H176,'Small Signal'!$B$49)),IMSUM(IMPRODUCT('Small Signal'!$B$52,IMPOWER(H176,2)),IMSUM(IMPRODUCT(H176,'Small Signal'!$B$51),'Small Signal'!$B$50)))</f>
        <v>-0.00945513861602417-0.00592847210326085i</v>
      </c>
      <c r="Q176" s="229">
        <f t="shared" si="30"/>
        <v>-39.04668724494704</v>
      </c>
      <c r="R176" s="229">
        <f t="shared" si="31"/>
        <v>-147.9118521303644</v>
      </c>
      <c r="S176" s="229" t="str">
        <f>IMPRODUCT(IMDIV(IMSUM(IMPRODUCT(H176,'Small Signal'!$B$33*'Small Signal'!$B$6*'Small Signal'!$B$27*'Small Signal'!$B$7*'Small Signal'!$B$8),'Small Signal'!$B$33*'Small Signal'!$B$6*'Small Signal'!$B$27),IMSUM(IMSUM(IMPRODUCT(H176,('Small Signal'!$B$5+'Small Signal'!$B$6)*('Small Signal'!$B$32*'Small Signal'!$B$33)+'Small Signal'!$B$5*'Small Signal'!$B$33*('Small Signal'!$B$8+'Small Signal'!$B$9)+'Small Signal'!$B$6*'Small Signal'!$B$33*('Small Signal'!$B$8+'Small Signal'!$B$9)+'Small Signal'!$B$7*'Small Signal'!$B$8*('Small Signal'!$B$5+'Small Signal'!$B$6)),'Small Signal'!$B$6+'Small Signal'!$B$5),IMPRODUCT(IMPOWER(H176,2),'Small Signal'!$B$32*'Small Signal'!$B$33*'Small Signal'!$B$8*'Small Signal'!$B$7*('Small Signal'!$B$5+'Small Signal'!$B$6)+('Small Signal'!$B$5+'Small Signal'!$B$6)*('Small Signal'!$B$9*'Small Signal'!$B$8*'Small Signal'!$B$33*'Small Signal'!$B$7)))),-1)</f>
        <v>-0.0858307028030475+0.192880704782498i</v>
      </c>
      <c r="T176" s="229">
        <f t="shared" si="32"/>
        <v>-13.509585759273826</v>
      </c>
      <c r="U176" s="229">
        <f t="shared" si="33"/>
        <v>113.9887637820882</v>
      </c>
      <c r="V176" s="229" t="str">
        <f t="shared" si="34"/>
        <v>0.00590806298975406-0.00227185703754367i</v>
      </c>
      <c r="W176" s="226">
        <f t="shared" si="35"/>
        <v>-43.972181308755445</v>
      </c>
      <c r="X176" s="229">
        <f t="shared" si="36"/>
        <v>-21.033499038383965</v>
      </c>
      <c r="Y176" s="229" t="str">
        <f t="shared" si="37"/>
        <v>0.00195502907007392-0.00131486887290381i</v>
      </c>
      <c r="Z176" s="226">
        <f t="shared" si="38"/>
        <v>-52.55627300422087</v>
      </c>
      <c r="AA176" s="229">
        <f t="shared" si="39"/>
        <v>-33.92308834827612</v>
      </c>
    </row>
    <row r="177" spans="6:27" ht="12.75">
      <c r="F177" s="78">
        <v>175</v>
      </c>
      <c r="G177" s="229">
        <f>10^('Small Signal'!F177/30)</f>
        <v>681292.0690579612</v>
      </c>
      <c r="H177" s="229" t="str">
        <f t="shared" si="27"/>
        <v>4280684.31820296i</v>
      </c>
      <c r="I177" s="229">
        <f>IF('Small Signal'!$B$37&gt;=1,Q177+0,N177+0)</f>
        <v>-31.57995720979654</v>
      </c>
      <c r="J177" s="229">
        <f>IF('Small Signal'!$B$37&gt;=1,R177,O177)</f>
        <v>-134.14454716011744</v>
      </c>
      <c r="K177" s="229">
        <f>IF('Small Signal'!$B$37&gt;=1,Z177+0,W177+0)</f>
        <v>-45.65014146826121</v>
      </c>
      <c r="L177" s="229">
        <f>IF('Small Signal'!$B$37&gt;=1,AA177,X177)</f>
        <v>-21.739713025470483</v>
      </c>
      <c r="M177" s="229" t="str">
        <f>IMDIV(IMSUM('Small Signal'!$B$2*'Small Signal'!$B$16*'Small Signal'!$B$38,IMPRODUCT(H177,'Small Signal'!$B$2*'Small Signal'!$B$16*'Small Signal'!$B$38*'Small Signal'!$B$13*'Small Signal'!$B$14)),IMSUM(IMPRODUCT('Small Signal'!$B$11*'Small Signal'!$B$13*('Small Signal'!$B$14+'Small Signal'!$B$16),IMPOWER(H177,2)),IMSUM(IMPRODUCT(H177,('Small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-0.0183613720581513-0.0189180120971034i</v>
      </c>
      <c r="N177" s="229">
        <f t="shared" si="28"/>
        <v>-31.57995720979654</v>
      </c>
      <c r="O177" s="229">
        <f t="shared" si="29"/>
        <v>-134.14454716011744</v>
      </c>
      <c r="P177" s="229" t="str">
        <f>IMDIV(IMSUM('Small Signal'!$B$48,IMPRODUCT(H177,'Small Signal'!$B$49)),IMSUM(IMPRODUCT('Small Signal'!$B$52,IMPOWER(H177,2)),IMSUM(IMPRODUCT(H177,'Small Signal'!$B$51),'Small Signal'!$B$50)))</f>
        <v>-0.0081108573970529-0.00544564076226319i</v>
      </c>
      <c r="Q177" s="229">
        <f t="shared" si="30"/>
        <v>-40.20264968739434</v>
      </c>
      <c r="R177" s="229">
        <f t="shared" si="31"/>
        <v>-146.12253447905687</v>
      </c>
      <c r="S177" s="229" t="str">
        <f>IMPRODUCT(IMDIV(IMSUM(IMPRODUCT(H177,'Small Signal'!$B$33*'Small Signal'!$B$6*'Small Signal'!$B$27*'Small Signal'!$B$7*'Small Signal'!$B$8),'Small Signal'!$B$33*'Small Signal'!$B$6*'Small Signal'!$B$27),IMSUM(IMSUM(IMPRODUCT(H177,('Small Signal'!$B$5+'Small Signal'!$B$6)*('Small Signal'!$B$32*'Small Signal'!$B$33)+'Small Signal'!$B$5*'Small Signal'!$B$33*('Small Signal'!$B$8+'Small Signal'!$B$9)+'Small Signal'!$B$6*'Small Signal'!$B$33*('Small Signal'!$B$8+'Small Signal'!$B$9)+'Small Signal'!$B$7*'Small Signal'!$B$8*('Small Signal'!$B$5+'Small Signal'!$B$6)),'Small Signal'!$B$6+'Small Signal'!$B$5),IMPRODUCT(IMPOWER(H177,2),'Small Signal'!$B$32*'Small Signal'!$B$33*'Small Signal'!$B$8*'Small Signal'!$B$7*('Small Signal'!$B$5+'Small Signal'!$B$6)+('Small Signal'!$B$5+'Small Signal'!$B$6)*('Small Signal'!$B$9*'Small Signal'!$B$8*'Small Signal'!$B$33*'Small Signal'!$B$7)))),-1)</f>
        <v>-0.0754370793493123+0.182980252374153i</v>
      </c>
      <c r="T177" s="229">
        <f t="shared" si="32"/>
        <v>-14.070184258464678</v>
      </c>
      <c r="U177" s="229">
        <f t="shared" si="33"/>
        <v>112.40483413464696</v>
      </c>
      <c r="V177" s="229" t="str">
        <f t="shared" si="34"/>
        <v>0.00484675090885827-0.00193264891343581i</v>
      </c>
      <c r="W177" s="226">
        <f t="shared" si="35"/>
        <v>-45.65014146826121</v>
      </c>
      <c r="X177" s="229">
        <f t="shared" si="36"/>
        <v>-21.739713025470483</v>
      </c>
      <c r="Y177" s="229" t="str">
        <f t="shared" si="37"/>
        <v>0.00160830411407033-0.00107332349919281i</v>
      </c>
      <c r="Z177" s="226">
        <f t="shared" si="38"/>
        <v>-54.27283394585902</v>
      </c>
      <c r="AA177" s="229">
        <f t="shared" si="39"/>
        <v>-33.71770034440996</v>
      </c>
    </row>
    <row r="178" spans="6:27" ht="12.75">
      <c r="F178" s="78">
        <v>176</v>
      </c>
      <c r="G178" s="229">
        <f>10^('Small Signal'!F178/30)</f>
        <v>735642.2544596415</v>
      </c>
      <c r="H178" s="229" t="str">
        <f t="shared" si="27"/>
        <v>4622176.60456129i</v>
      </c>
      <c r="I178" s="229">
        <f>IF('Small Signal'!$B$37&gt;=1,Q178+0,N178+0)</f>
        <v>-32.68196037867146</v>
      </c>
      <c r="J178" s="229">
        <f>IF('Small Signal'!$B$37&gt;=1,R178,O178)</f>
        <v>-133.12986734208687</v>
      </c>
      <c r="K178" s="229">
        <f>IF('Small Signal'!$B$37&gt;=1,Z178+0,W178+0)</f>
        <v>-47.32572572966851</v>
      </c>
      <c r="L178" s="229">
        <f>IF('Small Signal'!$B$37&gt;=1,AA178,X178)</f>
        <v>-22.226471151617673</v>
      </c>
      <c r="M178" s="229" t="str">
        <f>IMDIV(IMSUM('Small Signal'!$B$2*'Small Signal'!$B$16*'Small Signal'!$B$38,IMPRODUCT(H178,'Small Signal'!$B$2*'Small Signal'!$B$16*'Small Signal'!$B$38*'Small Signal'!$B$13*'Small Signal'!$B$14)),IMSUM(IMPRODUCT('Small Signal'!$B$11*'Small Signal'!$B$13*('Small Signal'!$B$14+'Small Signal'!$B$16),IMPOWER(H178,2)),IMSUM(IMPRODUCT(H178,('Small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-0.015875906492623-0.0169476469965782i</v>
      </c>
      <c r="N178" s="229">
        <f t="shared" si="28"/>
        <v>-32.68196037867146</v>
      </c>
      <c r="O178" s="229">
        <f t="shared" si="29"/>
        <v>-133.12986734208687</v>
      </c>
      <c r="P178" s="229" t="str">
        <f>IMDIV(IMSUM('Small Signal'!$B$48,IMPRODUCT(H178,'Small Signal'!$B$49)),IMSUM(IMPRODUCT('Small Signal'!$B$52,IMPOWER(H178,2)),IMSUM(IMPRODUCT(H178,'Small Signal'!$B$51),'Small Signal'!$B$50)))</f>
        <v>-0.00695754957653342-0.00500769374387994i</v>
      </c>
      <c r="Q178" s="229">
        <f t="shared" si="30"/>
        <v>-41.33804299377769</v>
      </c>
      <c r="R178" s="229">
        <f t="shared" si="31"/>
        <v>-144.25556135019715</v>
      </c>
      <c r="S178" s="229" t="str">
        <f>IMPRODUCT(IMDIV(IMSUM(IMPRODUCT(H178,'Small Signal'!$B$33*'Small Signal'!$B$6*'Small Signal'!$B$27*'Small Signal'!$B$7*'Small Signal'!$B$8),'Small Signal'!$B$33*'Small Signal'!$B$6*'Small Signal'!$B$27),IMSUM(IMSUM(IMPRODUCT(H178,('Small Signal'!$B$5+'Small Signal'!$B$6)*('Small Signal'!$B$32*'Small Signal'!$B$33)+'Small Signal'!$B$5*'Small Signal'!$B$33*('Small Signal'!$B$8+'Small Signal'!$B$9)+'Small Signal'!$B$6*'Small Signal'!$B$33*('Small Signal'!$B$8+'Small Signal'!$B$9)+'Small Signal'!$B$7*'Small Signal'!$B$8*('Small Signal'!$B$5+'Small Signal'!$B$6)),'Small Signal'!$B$6+'Small Signal'!$B$5),IMPRODUCT(IMPOWER(H178,2),'Small Signal'!$B$32*'Small Signal'!$B$33*'Small Signal'!$B$8*'Small Signal'!$B$7*('Small Signal'!$B$5+'Small Signal'!$B$6)+('Small Signal'!$B$5+'Small Signal'!$B$6)*('Small Signal'!$B$9*'Small Signal'!$B$8*'Small Signal'!$B$33*'Small Signal'!$B$7)))),-1)</f>
        <v>-0.0661041175770782+0.173078787616997i</v>
      </c>
      <c r="T178" s="229">
        <f t="shared" si="32"/>
        <v>-14.64376535099704</v>
      </c>
      <c r="U178" s="229">
        <f t="shared" si="33"/>
        <v>110.90339619046922</v>
      </c>
      <c r="V178" s="229" t="str">
        <f t="shared" si="34"/>
        <v>0.00398274098455964-0.00162747339834738i</v>
      </c>
      <c r="W178" s="226">
        <f t="shared" si="35"/>
        <v>-47.32572572966851</v>
      </c>
      <c r="X178" s="229">
        <f t="shared" si="36"/>
        <v>-22.226471151617673</v>
      </c>
      <c r="Y178" s="229" t="str">
        <f t="shared" si="37"/>
        <v>0.00132664823720348-0.000873175069456117i</v>
      </c>
      <c r="Z178" s="226">
        <f t="shared" si="38"/>
        <v>-55.98180834477471</v>
      </c>
      <c r="AA178" s="229">
        <f t="shared" si="39"/>
        <v>-33.352165159727846</v>
      </c>
    </row>
    <row r="179" spans="6:27" ht="12.75">
      <c r="F179" s="78">
        <v>177</v>
      </c>
      <c r="G179" s="229">
        <f>10^('Small Signal'!F179/30)</f>
        <v>794328.2347242833</v>
      </c>
      <c r="H179" s="229" t="str">
        <f t="shared" si="27"/>
        <v>4990911.49349752i</v>
      </c>
      <c r="I179" s="229">
        <f>IF('Small Signal'!$B$37&gt;=1,Q179+0,N179+0)</f>
        <v>-33.76659555047</v>
      </c>
      <c r="J179" s="229">
        <f>IF('Small Signal'!$B$37&gt;=1,R179,O179)</f>
        <v>-131.98976495989086</v>
      </c>
      <c r="K179" s="229">
        <f>IF('Small Signal'!$B$37&gt;=1,Z179+0,W179+0)</f>
        <v>-48.99556684730946</v>
      </c>
      <c r="L179" s="229">
        <f>IF('Small Signal'!$B$37&gt;=1,AA179,X179)</f>
        <v>-22.50551467306986</v>
      </c>
      <c r="M179" s="229" t="str">
        <f>IMDIV(IMSUM('Small Signal'!$B$2*'Small Signal'!$B$16*'Small Signal'!$B$38,IMPRODUCT(H179,'Small Signal'!$B$2*'Small Signal'!$B$16*'Small Signal'!$B$38*'Small Signal'!$B$13*'Small Signal'!$B$14)),IMSUM(IMPRODUCT('Small Signal'!$B$11*'Small Signal'!$B$13*('Small Signal'!$B$14+'Small Signal'!$B$16),IMPOWER(H179,2)),IMSUM(IMPRODUCT(H179,('Small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-0.0137118148564688-0.015233984930551i</v>
      </c>
      <c r="N179" s="229">
        <f t="shared" si="28"/>
        <v>-33.76659555047</v>
      </c>
      <c r="O179" s="229">
        <f t="shared" si="29"/>
        <v>-131.98976495989086</v>
      </c>
      <c r="P179" s="229" t="str">
        <f>IMDIV(IMSUM('Small Signal'!$B$48,IMPRODUCT(H179,'Small Signal'!$B$49)),IMSUM(IMPRODUCT('Small Signal'!$B$52,IMPOWER(H179,2)),IMSUM(IMPRODUCT(H179,'Small Signal'!$B$51),'Small Signal'!$B$50)))</f>
        <v>-0.00596812426390955-0.00460942274137621i</v>
      </c>
      <c r="Q179" s="229">
        <f t="shared" si="30"/>
        <v>-42.451527780767016</v>
      </c>
      <c r="R179" s="229">
        <f t="shared" si="31"/>
        <v>-142.31964553053254</v>
      </c>
      <c r="S179" s="229" t="str">
        <f>IMPRODUCT(IMDIV(IMSUM(IMPRODUCT(H179,'Small Signal'!$B$33*'Small Signal'!$B$6*'Small Signal'!$B$27*'Small Signal'!$B$7*'Small Signal'!$B$8),'Small Signal'!$B$33*'Small Signal'!$B$6*'Small Signal'!$B$27),IMSUM(IMSUM(IMPRODUCT(H179,('Small Signal'!$B$5+'Small Signal'!$B$6)*('Small Signal'!$B$32*'Small Signal'!$B$33)+'Small Signal'!$B$5*'Small Signal'!$B$33*('Small Signal'!$B$8+'Small Signal'!$B$9)+'Small Signal'!$B$6*'Small Signal'!$B$33*('Small Signal'!$B$8+'Small Signal'!$B$9)+'Small Signal'!$B$7*'Small Signal'!$B$8*('Small Signal'!$B$5+'Small Signal'!$B$6)),'Small Signal'!$B$6+'Small Signal'!$B$5),IMPRODUCT(IMPOWER(H179,2),'Small Signal'!$B$32*'Small Signal'!$B$33*'Small Signal'!$B$8*'Small Signal'!$B$7*('Small Signal'!$B$5+'Small Signal'!$B$6)+('Small Signal'!$B$5+'Small Signal'!$B$6)*('Small Signal'!$B$9*'Small Signal'!$B$8*'Small Signal'!$B$33*'Small Signal'!$B$7)))),-1)</f>
        <v>-0.057770938595085+0.163282726370891i</v>
      </c>
      <c r="T179" s="229">
        <f t="shared" si="32"/>
        <v>-15.228971296839466</v>
      </c>
      <c r="U179" s="229">
        <f t="shared" si="33"/>
        <v>109.484250286821</v>
      </c>
      <c r="V179" s="229" t="str">
        <f t="shared" si="34"/>
        <v>0.00327959100705367-0.0013588209052758i</v>
      </c>
      <c r="W179" s="226">
        <f t="shared" si="35"/>
        <v>-48.99556684730946</v>
      </c>
      <c r="X179" s="229">
        <f t="shared" si="36"/>
        <v>-22.50551467306986</v>
      </c>
      <c r="Y179" s="229" t="str">
        <f t="shared" si="37"/>
        <v>0.00109742325258605-0.000708200922980585i</v>
      </c>
      <c r="Z179" s="226">
        <f t="shared" si="38"/>
        <v>-57.680499077606484</v>
      </c>
      <c r="AA179" s="229">
        <f t="shared" si="39"/>
        <v>-32.83539524371156</v>
      </c>
    </row>
    <row r="180" spans="6:27" ht="12.75">
      <c r="F180" s="78">
        <v>178</v>
      </c>
      <c r="G180" s="229">
        <f>10^('Small Signal'!F180/30)</f>
        <v>857695.8985908963</v>
      </c>
      <c r="H180" s="229" t="str">
        <f t="shared" si="27"/>
        <v>5389062.26805451i</v>
      </c>
      <c r="I180" s="229">
        <f>IF('Small Signal'!$B$37&gt;=1,Q180+0,N180+0)</f>
        <v>-34.83208178853727</v>
      </c>
      <c r="J180" s="229">
        <f>IF('Small Signal'!$B$37&gt;=1,R180,O180)</f>
        <v>-130.7372248048526</v>
      </c>
      <c r="K180" s="229">
        <f>IF('Small Signal'!$B$37&gt;=1,Z180+0,W180+0)</f>
        <v>-50.656612432781145</v>
      </c>
      <c r="L180" s="229">
        <f>IF('Small Signal'!$B$37&gt;=1,AA180,X180)</f>
        <v>-22.590892493637938</v>
      </c>
      <c r="M180" s="229" t="str">
        <f>IMDIV(IMSUM('Small Signal'!$B$2*'Small Signal'!$B$16*'Small Signal'!$B$38,IMPRODUCT(H180,'Small Signal'!$B$2*'Small Signal'!$B$16*'Small Signal'!$B$38*'Small Signal'!$B$13*'Small Signal'!$B$14)),IMSUM(IMPRODUCT('Small Signal'!$B$11*'Small Signal'!$B$13*('Small Signal'!$B$14+'Small Signal'!$B$16),IMPOWER(H180,2)),IMSUM(IMPRODUCT(H180,('Small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-0.0118314200280601-0.0137372316678988i</v>
      </c>
      <c r="N180" s="229">
        <f t="shared" si="28"/>
        <v>-34.83208178853727</v>
      </c>
      <c r="O180" s="229">
        <f t="shared" si="29"/>
        <v>-130.7372248048526</v>
      </c>
      <c r="P180" s="229" t="str">
        <f>IMDIV(IMSUM('Small Signal'!$B$48,IMPRODUCT(H180,'Small Signal'!$B$49)),IMSUM(IMPRODUCT('Small Signal'!$B$52,IMPOWER(H180,2)),IMSUM(IMPRODUCT(H180,'Small Signal'!$B$51),'Small Signal'!$B$50)))</f>
        <v>-0.00511932316050979-0.00424639262617141i</v>
      </c>
      <c r="Q180" s="229">
        <f t="shared" si="30"/>
        <v>-43.54191557585973</v>
      </c>
      <c r="R180" s="229">
        <f t="shared" si="31"/>
        <v>-140.32486323741992</v>
      </c>
      <c r="S180" s="229" t="str">
        <f>IMPRODUCT(IMDIV(IMSUM(IMPRODUCT(H180,'Small Signal'!$B$33*'Small Signal'!$B$6*'Small Signal'!$B$27*'Small Signal'!$B$7*'Small Signal'!$B$8),'Small Signal'!$B$33*'Small Signal'!$B$6*'Small Signal'!$B$27),IMSUM(IMSUM(IMPRODUCT(H180,('Small Signal'!$B$5+'Small Signal'!$B$6)*('Small Signal'!$B$32*'Small Signal'!$B$33)+'Small Signal'!$B$5*'Small Signal'!$B$33*('Small Signal'!$B$8+'Small Signal'!$B$9)+'Small Signal'!$B$6*'Small Signal'!$B$33*('Small Signal'!$B$8+'Small Signal'!$B$9)+'Small Signal'!$B$7*'Small Signal'!$B$8*('Small Signal'!$B$5+'Small Signal'!$B$6)),'Small Signal'!$B$6+'Small Signal'!$B$5),IMPRODUCT(IMPOWER(H180,2),'Small Signal'!$B$32*'Small Signal'!$B$33*'Small Signal'!$B$8*'Small Signal'!$B$7*('Small Signal'!$B$5+'Small Signal'!$B$6)+('Small Signal'!$B$5+'Small Signal'!$B$6)*('Small Signal'!$B$9*'Small Signal'!$B$8*'Small Signal'!$B$33*'Small Signal'!$B$7)))),-1)</f>
        <v>-0.0503680085846084+0.153680169971884i</v>
      </c>
      <c r="T180" s="229">
        <f t="shared" si="32"/>
        <v>-15.82453064424386</v>
      </c>
      <c r="U180" s="229">
        <f t="shared" si="33"/>
        <v>108.14633231121472</v>
      </c>
      <c r="V180" s="229" t="str">
        <f t="shared" si="34"/>
        <v>0.00270706516320727-0.00112633763834355i</v>
      </c>
      <c r="W180" s="226">
        <f t="shared" si="35"/>
        <v>-50.656612432781145</v>
      </c>
      <c r="X180" s="229">
        <f t="shared" si="36"/>
        <v>-22.590892493637938</v>
      </c>
      <c r="Y180" s="229" t="str">
        <f t="shared" si="37"/>
        <v>0.000910436453453319-0.000572856113199528i</v>
      </c>
      <c r="Z180" s="226">
        <f t="shared" si="38"/>
        <v>-59.36644622010358</v>
      </c>
      <c r="AA180" s="229">
        <f t="shared" si="39"/>
        <v>-32.17853092620523</v>
      </c>
    </row>
    <row r="181" spans="6:27" ht="12.75">
      <c r="F181" s="78">
        <v>179</v>
      </c>
      <c r="G181" s="229">
        <f>10^('Small Signal'!F181/30)</f>
        <v>926118.7281287945</v>
      </c>
      <c r="H181" s="229" t="str">
        <f t="shared" si="27"/>
        <v>5818975.58528269i</v>
      </c>
      <c r="I181" s="229">
        <f>IF('Small Signal'!$B$37&gt;=1,Q181+0,N181+0)</f>
        <v>-35.87690509537714</v>
      </c>
      <c r="J181" s="229">
        <f>IF('Small Signal'!$B$37&gt;=1,R181,O181)</f>
        <v>-129.38647563414258</v>
      </c>
      <c r="K181" s="229">
        <f>IF('Small Signal'!$B$37&gt;=1,Z181+0,W181+0)</f>
        <v>-52.30617211848087</v>
      </c>
      <c r="L181" s="229">
        <f>IF('Small Signal'!$B$37&gt;=1,AA181,X181)</f>
        <v>-22.498604414790552</v>
      </c>
      <c r="M181" s="229" t="str">
        <f>IMDIV(IMSUM('Small Signal'!$B$2*'Small Signal'!$B$16*'Small Signal'!$B$38,IMPRODUCT(H181,'Small Signal'!$B$2*'Small Signal'!$B$16*'Small Signal'!$B$38*'Small Signal'!$B$13*'Small Signal'!$B$14)),IMSUM(IMPRODUCT('Small Signal'!$B$11*'Small Signal'!$B$13*('Small Signal'!$B$14+'Small Signal'!$B$16),IMPOWER(H181,2)),IMSUM(IMPRODUCT(H181,('Small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-0.0102004490383522-0.0124242079501021i</v>
      </c>
      <c r="N181" s="229">
        <f t="shared" si="28"/>
        <v>-35.87690509537714</v>
      </c>
      <c r="O181" s="229">
        <f t="shared" si="29"/>
        <v>-129.38647563414258</v>
      </c>
      <c r="P181" s="229" t="str">
        <f>IMDIV(IMSUM('Small Signal'!$B$48,IMPRODUCT(H181,'Small Signal'!$B$49)),IMSUM(IMPRODUCT('Small Signal'!$B$52,IMPOWER(H181,2)),IMSUM(IMPRODUCT(H181,'Small Signal'!$B$51),'Small Signal'!$B$50)))</f>
        <v>-0.00439118111878345-0.00391480469662135i</v>
      </c>
      <c r="Q181" s="229">
        <f t="shared" si="30"/>
        <v>-44.60821396829192</v>
      </c>
      <c r="R181" s="229">
        <f t="shared" si="31"/>
        <v>-138.2825110141575</v>
      </c>
      <c r="S181" s="229" t="str">
        <f>IMPRODUCT(IMDIV(IMSUM(IMPRODUCT(H181,'Small Signal'!$B$33*'Small Signal'!$B$6*'Small Signal'!$B$27*'Small Signal'!$B$7*'Small Signal'!$B$8),'Small Signal'!$B$33*'Small Signal'!$B$6*'Small Signal'!$B$27),IMSUM(IMSUM(IMPRODUCT(H181,('Small Signal'!$B$5+'Small Signal'!$B$6)*('Small Signal'!$B$32*'Small Signal'!$B$33)+'Small Signal'!$B$5*'Small Signal'!$B$33*('Small Signal'!$B$8+'Small Signal'!$B$9)+'Small Signal'!$B$6*'Small Signal'!$B$33*('Small Signal'!$B$8+'Small Signal'!$B$9)+'Small Signal'!$B$7*'Small Signal'!$B$8*('Small Signal'!$B$5+'Small Signal'!$B$6)),'Small Signal'!$B$6+'Small Signal'!$B$5),IMPRODUCT(IMPOWER(H181,2),'Small Signal'!$B$32*'Small Signal'!$B$33*'Small Signal'!$B$8*'Small Signal'!$B$7*('Small Signal'!$B$5+'Small Signal'!$B$6)+('Small Signal'!$B$5+'Small Signal'!$B$6)*('Small Signal'!$B$9*'Small Signal'!$B$8*'Small Signal'!$B$33*'Small Signal'!$B$7)))),-1)</f>
        <v>-0.0438209965984811+0.144341728774567i</v>
      </c>
      <c r="T181" s="229">
        <f t="shared" si="32"/>
        <v>-16.429267023103733</v>
      </c>
      <c r="U181" s="229">
        <f t="shared" si="33"/>
        <v>106.88787121935201</v>
      </c>
      <c r="V181" s="229" t="str">
        <f t="shared" si="34"/>
        <v>0.00224032549678507-0.00092790927415238i</v>
      </c>
      <c r="W181" s="226">
        <f t="shared" si="35"/>
        <v>-52.30617211848087</v>
      </c>
      <c r="X181" s="229">
        <f t="shared" si="36"/>
        <v>-22.498604414790552</v>
      </c>
      <c r="Y181" s="229" t="str">
        <f t="shared" si="37"/>
        <v>0.000757495610594644-0.000462280030753078i</v>
      </c>
      <c r="Z181" s="226">
        <f t="shared" si="38"/>
        <v>-61.037480991395654</v>
      </c>
      <c r="AA181" s="229">
        <f t="shared" si="39"/>
        <v>-31.394639794805443</v>
      </c>
    </row>
    <row r="182" spans="6:27" ht="12.75">
      <c r="F182" s="78">
        <v>180</v>
      </c>
      <c r="G182" s="229">
        <f>10^('Small Signal'!F182/30)</f>
        <v>1000000</v>
      </c>
      <c r="H182" s="229" t="str">
        <f t="shared" si="27"/>
        <v>6283185.30717959i</v>
      </c>
      <c r="I182" s="229">
        <f>IF('Small Signal'!$B$37&gt;=1,Q182+0,N182+0)</f>
        <v>-36.899852176549814</v>
      </c>
      <c r="J182" s="229">
        <f>IF('Small Signal'!$B$37&gt;=1,R182,O182)</f>
        <v>-127.95272719898726</v>
      </c>
      <c r="K182" s="229">
        <f>IF('Small Signal'!$B$37&gt;=1,Z182+0,W182+0)</f>
        <v>-53.94195548836009</v>
      </c>
      <c r="L182" s="229">
        <f>IF('Small Signal'!$B$37&gt;=1,AA182,X182)</f>
        <v>-22.2461905923156</v>
      </c>
      <c r="M182" s="229" t="str">
        <f>IMDIV(IMSUM('Small Signal'!$B$2*'Small Signal'!$B$16*'Small Signal'!$B$38,IMPRODUCT(H182,'Small Signal'!$B$2*'Small Signal'!$B$16*'Small Signal'!$B$38*'Small Signal'!$B$13*'Small Signal'!$B$14)),IMSUM(IMPRODUCT('Small Signal'!$B$11*'Small Signal'!$B$13*('Small Signal'!$B$14+'Small Signal'!$B$16),IMPOWER(H182,2)),IMSUM(IMPRODUCT(H182,('Small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-0.008788006082866-0.0112672842007367i</v>
      </c>
      <c r="N182" s="229">
        <f t="shared" si="28"/>
        <v>-36.899852176549814</v>
      </c>
      <c r="O182" s="229">
        <f t="shared" si="29"/>
        <v>-127.95272719898726</v>
      </c>
      <c r="P182" s="229" t="str">
        <f>IMDIV(IMSUM('Small Signal'!$B$48,IMPRODUCT(H182,'Small Signal'!$B$49)),IMSUM(IMPRODUCT('Small Signal'!$B$52,IMPOWER(H182,2)),IMSUM(IMPRODUCT(H182,'Small Signal'!$B$51),'Small Signal'!$B$50)))</f>
        <v>-0.00376656189592349-0.00361138632735282i</v>
      </c>
      <c r="Q182" s="229">
        <f t="shared" si="30"/>
        <v>-45.64966717549959</v>
      </c>
      <c r="R182" s="229">
        <f t="shared" si="31"/>
        <v>-136.2048870836399</v>
      </c>
      <c r="S182" s="229" t="str">
        <f>IMPRODUCT(IMDIV(IMSUM(IMPRODUCT(H182,'Small Signal'!$B$33*'Small Signal'!$B$6*'Small Signal'!$B$27*'Small Signal'!$B$7*'Small Signal'!$B$8),'Small Signal'!$B$33*'Small Signal'!$B$6*'Small Signal'!$B$27),IMSUM(IMSUM(IMPRODUCT(H182,('Small Signal'!$B$5+'Small Signal'!$B$6)*('Small Signal'!$B$32*'Small Signal'!$B$33)+'Small Signal'!$B$5*'Small Signal'!$B$33*('Small Signal'!$B$8+'Small Signal'!$B$9)+'Small Signal'!$B$6*'Small Signal'!$B$33*('Small Signal'!$B$8+'Small Signal'!$B$9)+'Small Signal'!$B$7*'Small Signal'!$B$8*('Small Signal'!$B$5+'Small Signal'!$B$6)),'Small Signal'!$B$6+'Small Signal'!$B$5),IMPRODUCT(IMPOWER(H182,2),'Small Signal'!$B$32*'Small Signal'!$B$33*'Small Signal'!$B$8*'Small Signal'!$B$7*('Small Signal'!$B$5+'Small Signal'!$B$6)+('Small Signal'!$B$5+'Small Signal'!$B$6)*('Small Signal'!$B$9*'Small Signal'!$B$8*'Small Signal'!$B$33*'Small Signal'!$B$7)))),-1)</f>
        <v>-0.0380539349591598+0.135321920551782i</v>
      </c>
      <c r="T182" s="229">
        <f t="shared" si="32"/>
        <v>-17.042103311810255</v>
      </c>
      <c r="U182" s="229">
        <f t="shared" si="33"/>
        <v>105.70653660667169</v>
      </c>
      <c r="V182" s="229" t="str">
        <f t="shared" si="34"/>
        <v>0.00185912874934452-0.000760445360812966i</v>
      </c>
      <c r="W182" s="226">
        <f t="shared" si="35"/>
        <v>-53.94195548836009</v>
      </c>
      <c r="X182" s="229">
        <f t="shared" si="36"/>
        <v>-22.2461905923156</v>
      </c>
      <c r="Y182" s="229" t="str">
        <f t="shared" si="37"/>
        <v>0.000632032235078952-0.000372270929220045i</v>
      </c>
      <c r="Z182" s="226">
        <f t="shared" si="38"/>
        <v>-62.691770487309846</v>
      </c>
      <c r="AA182" s="229">
        <f t="shared" si="39"/>
        <v>-30.498350476968245</v>
      </c>
    </row>
    <row r="183" spans="6:27" ht="12.75">
      <c r="F183" s="78">
        <v>181</v>
      </c>
      <c r="G183" s="229">
        <f>10^('Small Signal'!F183/30)</f>
        <v>1079775.1623277115</v>
      </c>
      <c r="H183" s="229" t="str">
        <f t="shared" si="27"/>
        <v>6784427.43499493i</v>
      </c>
      <c r="I183" s="229">
        <f>IF('Small Signal'!$B$37&gt;=1,Q183+0,N183+0)</f>
        <v>-37.90003642886874</v>
      </c>
      <c r="J183" s="229">
        <f>IF('Small Signal'!$B$37&gt;=1,R183,O183)</f>
        <v>-126.45185003731545</v>
      </c>
      <c r="K183" s="229">
        <f>IF('Small Signal'!$B$37&gt;=1,Z183+0,W183+0)</f>
        <v>-55.56209852978267</v>
      </c>
      <c r="L183" s="229">
        <f>IF('Small Signal'!$B$37&gt;=1,AA183,X183)</f>
        <v>-21.85227763353598</v>
      </c>
      <c r="M183" s="229" t="str">
        <f>IMDIV(IMSUM('Small Signal'!$B$2*'Small Signal'!$B$16*'Small Signal'!$B$38,IMPRODUCT(H183,'Small Signal'!$B$2*'Small Signal'!$B$16*'Small Signal'!$B$38*'Small Signal'!$B$13*'Small Signal'!$B$14)),IMSUM(IMPRODUCT('Small Signal'!$B$11*'Small Signal'!$B$13*('Small Signal'!$B$14+'Small Signal'!$B$16),IMPOWER(H183,2)),IMSUM(IMPRODUCT(H183,('Small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-0.00756644906599126-0.0102434612260604i</v>
      </c>
      <c r="N183" s="229">
        <f t="shared" si="28"/>
        <v>-37.90003642886874</v>
      </c>
      <c r="O183" s="229">
        <f t="shared" si="29"/>
        <v>-126.45185003731545</v>
      </c>
      <c r="P183" s="229" t="str">
        <f>IMDIV(IMSUM('Small Signal'!$B$48,IMPRODUCT(H183,'Small Signal'!$B$49)),IMSUM(IMPRODUCT('Small Signal'!$B$52,IMPOWER(H183,2)),IMSUM(IMPRODUCT(H183,'Small Signal'!$B$51),'Small Signal'!$B$50)))</f>
        <v>-0.0032307588152531-0.00333330174222214i</v>
      </c>
      <c r="Q183" s="229">
        <f t="shared" si="30"/>
        <v>-46.66578864025372</v>
      </c>
      <c r="R183" s="229">
        <f t="shared" si="31"/>
        <v>-134.10500535258498</v>
      </c>
      <c r="S183" s="229" t="str">
        <f>IMPRODUCT(IMDIV(IMSUM(IMPRODUCT(H183,'Small Signal'!$B$33*'Small Signal'!$B$6*'Small Signal'!$B$27*'Small Signal'!$B$7*'Small Signal'!$B$8),'Small Signal'!$B$33*'Small Signal'!$B$6*'Small Signal'!$B$27),IMSUM(IMSUM(IMPRODUCT(H183,('Small Signal'!$B$5+'Small Signal'!$B$6)*('Small Signal'!$B$32*'Small Signal'!$B$33)+'Small Signal'!$B$5*'Small Signal'!$B$33*('Small Signal'!$B$8+'Small Signal'!$B$9)+'Small Signal'!$B$6*'Small Signal'!$B$33*('Small Signal'!$B$8+'Small Signal'!$B$9)+'Small Signal'!$B$7*'Small Signal'!$B$8*('Small Signal'!$B$5+'Small Signal'!$B$6)),'Small Signal'!$B$6+'Small Signal'!$B$5),IMPRODUCT(IMPOWER(H183,2),'Small Signal'!$B$32*'Small Signal'!$B$33*'Small Signal'!$B$8*'Small Signal'!$B$7*('Small Signal'!$B$5+'Small Signal'!$B$6)+('Small Signal'!$B$5+'Small Signal'!$B$6)*('Small Signal'!$B$9*'Small Signal'!$B$8*'Small Signal'!$B$33*'Small Signal'!$B$7)))),-1)</f>
        <v>-0.032991685801718+0.126660907648853i</v>
      </c>
      <c r="T183" s="229">
        <f t="shared" si="32"/>
        <v>-17.662062100913943</v>
      </c>
      <c r="U183" s="229">
        <f t="shared" si="33"/>
        <v>104.59957240377946</v>
      </c>
      <c r="V183" s="229" t="str">
        <f t="shared" si="34"/>
        <v>0.00154707600657853-0.000620424252085003i</v>
      </c>
      <c r="W183" s="226">
        <f t="shared" si="35"/>
        <v>-55.56209852978267</v>
      </c>
      <c r="X183" s="229">
        <f t="shared" si="36"/>
        <v>-21.85227763353598</v>
      </c>
      <c r="Y183" s="229" t="str">
        <f t="shared" si="37"/>
        <v>0.00052878720387132-0.000299239600172779i</v>
      </c>
      <c r="Z183" s="226">
        <f t="shared" si="38"/>
        <v>-64.32785074116767</v>
      </c>
      <c r="AA183" s="229">
        <f t="shared" si="39"/>
        <v>-29.50543294880558</v>
      </c>
    </row>
    <row r="184" spans="6:27" ht="12.75">
      <c r="F184" s="78">
        <v>182</v>
      </c>
      <c r="G184" s="229">
        <f>10^('Small Signal'!F184/30)</f>
        <v>1165914.4011798317</v>
      </c>
      <c r="H184" s="229" t="str">
        <f t="shared" si="27"/>
        <v>7325656.2349222i</v>
      </c>
      <c r="I184" s="229">
        <f>IF('Small Signal'!$B$37&gt;=1,Q184+0,N184+0)</f>
        <v>-38.87691335784387</v>
      </c>
      <c r="J184" s="229">
        <f>IF('Small Signal'!$B$37&gt;=1,R184,O184)</f>
        <v>-124.90001218341474</v>
      </c>
      <c r="K184" s="229">
        <f>IF('Small Signal'!$B$37&gt;=1,Z184+0,W184+0)</f>
        <v>-57.165176694205265</v>
      </c>
      <c r="L184" s="229">
        <f>IF('Small Signal'!$B$37&gt;=1,AA184,X184)</f>
        <v>-21.33609756519606</v>
      </c>
      <c r="M184" s="229" t="str">
        <f>IMDIV(IMSUM('Small Signal'!$B$2*'Small Signal'!$B$16*'Small Signal'!$B$38,IMPRODUCT(H184,'Small Signal'!$B$2*'Small Signal'!$B$16*'Small Signal'!$B$38*'Small Signal'!$B$13*'Small Signal'!$B$14)),IMSUM(IMPRODUCT('Small Signal'!$B$11*'Small Signal'!$B$13*('Small Signal'!$B$14+'Small Signal'!$B$16),IMPOWER(H184,2)),IMSUM(IMPRODUCT(H184,('Small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-0.00651120298334067-0.0093335863612968i</v>
      </c>
      <c r="N184" s="229">
        <f t="shared" si="28"/>
        <v>-38.87691335784387</v>
      </c>
      <c r="O184" s="229">
        <f t="shared" si="29"/>
        <v>-124.90001218341474</v>
      </c>
      <c r="P184" s="229" t="str">
        <f>IMDIV(IMSUM('Small Signal'!$B$48,IMPRODUCT(H184,'Small Signal'!$B$49)),IMSUM(IMPRODUCT('Small Signal'!$B$52,IMPOWER(H184,2)),IMSUM(IMPRODUCT(H184,'Small Signal'!$B$51),'Small Signal'!$B$50)))</f>
        <v>-0.00277115140364353-0.0030780796998939i</v>
      </c>
      <c r="Q184" s="229">
        <f t="shared" si="30"/>
        <v>-47.6563827185717</v>
      </c>
      <c r="R184" s="229">
        <f t="shared" si="31"/>
        <v>-131.99625781944394</v>
      </c>
      <c r="S184" s="229" t="str">
        <f>IMPRODUCT(IMDIV(IMSUM(IMPRODUCT(H184,'Small Signal'!$B$33*'Small Signal'!$B$6*'Small Signal'!$B$27*'Small Signal'!$B$7*'Small Signal'!$B$8),'Small Signal'!$B$33*'Small Signal'!$B$6*'Small Signal'!$B$27),IMSUM(IMSUM(IMPRODUCT(H184,('Small Signal'!$B$5+'Small Signal'!$B$6)*('Small Signal'!$B$32*'Small Signal'!$B$33)+'Small Signal'!$B$5*'Small Signal'!$B$33*('Small Signal'!$B$8+'Small Signal'!$B$9)+'Small Signal'!$B$6*'Small Signal'!$B$33*('Small Signal'!$B$8+'Small Signal'!$B$9)+'Small Signal'!$B$7*'Small Signal'!$B$8*('Small Signal'!$B$5+'Small Signal'!$B$6)),'Small Signal'!$B$6+'Small Signal'!$B$5),IMPRODUCT(IMPOWER(H184,2),'Small Signal'!$B$32*'Small Signal'!$B$33*'Small Signal'!$B$8*'Small Signal'!$B$7*('Small Signal'!$B$5+'Small Signal'!$B$6)+('Small Signal'!$B$5+'Small Signal'!$B$6)*('Small Signal'!$B$9*'Small Signal'!$B$8*'Small Signal'!$B$33*'Small Signal'!$B$7)))),-1)</f>
        <v>-0.0285617677275579+0.118386383414471i</v>
      </c>
      <c r="T184" s="229">
        <f t="shared" si="32"/>
        <v>-18.288263336361407</v>
      </c>
      <c r="U184" s="229">
        <f t="shared" si="33"/>
        <v>103.56391461821867</v>
      </c>
      <c r="V184" s="229" t="str">
        <f t="shared" si="34"/>
        <v>0.00129094100083772-0.000504254047158755i</v>
      </c>
      <c r="W184" s="226">
        <f t="shared" si="35"/>
        <v>-57.165176694205265</v>
      </c>
      <c r="X184" s="229">
        <f t="shared" si="36"/>
        <v>-21.33609756519606</v>
      </c>
      <c r="Y184" s="229" t="str">
        <f t="shared" si="37"/>
        <v>0.000443551706260702-0.000240151195136012i</v>
      </c>
      <c r="Z184" s="226">
        <f t="shared" si="38"/>
        <v>-65.94464605493309</v>
      </c>
      <c r="AA184" s="229">
        <f t="shared" si="39"/>
        <v>-28.432343201225265</v>
      </c>
    </row>
    <row r="185" spans="6:27" ht="12.75">
      <c r="F185" s="78">
        <v>183</v>
      </c>
      <c r="G185" s="229">
        <f>10^('Small Signal'!F185/30)</f>
        <v>1258925.4117941677</v>
      </c>
      <c r="H185" s="229" t="str">
        <f t="shared" si="27"/>
        <v>7910061.65022012i</v>
      </c>
      <c r="I185" s="229">
        <f>IF('Small Signal'!$B$37&gt;=1,Q185+0,N185+0)</f>
        <v>-39.830283452866354</v>
      </c>
      <c r="J185" s="229">
        <f>IF('Small Signal'!$B$37&gt;=1,R185,O185)</f>
        <v>-123.31329331414163</v>
      </c>
      <c r="K185" s="229">
        <f>IF('Small Signal'!$B$37&gt;=1,Z185+0,W185+0)</f>
        <v>-58.750203385908065</v>
      </c>
      <c r="L185" s="229">
        <f>IF('Small Signal'!$B$37&gt;=1,AA185,X185)</f>
        <v>-20.717000833765187</v>
      </c>
      <c r="M185" s="229" t="str">
        <f>IMDIV(IMSUM('Small Signal'!$B$2*'Small Signal'!$B$16*'Small Signal'!$B$38,IMPRODUCT(H185,'Small Signal'!$B$2*'Small Signal'!$B$16*'Small Signal'!$B$38*'Small Signal'!$B$13*'Small Signal'!$B$14)),IMSUM(IMPRODUCT('Small Signal'!$B$11*'Small Signal'!$B$13*('Small Signal'!$B$14+'Small Signal'!$B$16),IMPOWER(H185,2)),IMSUM(IMPRODUCT(H185,('Small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-0.00560053580408499-0.00852169162898017i</v>
      </c>
      <c r="N185" s="229">
        <f t="shared" si="28"/>
        <v>-39.830283452866354</v>
      </c>
      <c r="O185" s="229">
        <f t="shared" si="29"/>
        <v>-123.31329331414163</v>
      </c>
      <c r="P185" s="229" t="str">
        <f>IMDIV(IMSUM('Small Signal'!$B$48,IMPRODUCT(H185,'Small Signal'!$B$49)),IMSUM(IMPRODUCT('Small Signal'!$B$52,IMPOWER(H185,2)),IMSUM(IMPRODUCT(H185,'Small Signal'!$B$51),'Small Signal'!$B$50)))</f>
        <v>-0.00237691026393989-0.00284355473173295i</v>
      </c>
      <c r="Q185" s="229">
        <f t="shared" si="30"/>
        <v>-48.62155339728956</v>
      </c>
      <c r="R185" s="229">
        <f t="shared" si="31"/>
        <v>-129.8920473659562</v>
      </c>
      <c r="S185" s="229" t="str">
        <f>IMPRODUCT(IMDIV(IMSUM(IMPRODUCT(H185,'Small Signal'!$B$33*'Small Signal'!$B$6*'Small Signal'!$B$27*'Small Signal'!$B$7*'Small Signal'!$B$8),'Small Signal'!$B$33*'Small Signal'!$B$6*'Small Signal'!$B$27),IMSUM(IMSUM(IMPRODUCT(H185,('Small Signal'!$B$5+'Small Signal'!$B$6)*('Small Signal'!$B$32*'Small Signal'!$B$33)+'Small Signal'!$B$5*'Small Signal'!$B$33*('Small Signal'!$B$8+'Small Signal'!$B$9)+'Small Signal'!$B$6*'Small Signal'!$B$33*('Small Signal'!$B$8+'Small Signal'!$B$9)+'Small Signal'!$B$7*'Small Signal'!$B$8*('Small Signal'!$B$5+'Small Signal'!$B$6)),'Small Signal'!$B$6+'Small Signal'!$B$5),IMPRODUCT(IMPOWER(H185,2),'Small Signal'!$B$32*'Small Signal'!$B$33*'Small Signal'!$B$8*'Small Signal'!$B$7*('Small Signal'!$B$5+'Small Signal'!$B$6)+('Small Signal'!$B$5+'Small Signal'!$B$6)*('Small Signal'!$B$9*'Small Signal'!$B$8*'Small Signal'!$B$33*'Small Signal'!$B$7)))),-1)</f>
        <v>-0.0246956250598249+0.110515466534657i</v>
      </c>
      <c r="T185" s="229">
        <f t="shared" si="32"/>
        <v>-18.91991993304169</v>
      </c>
      <c r="U185" s="229">
        <f t="shared" si="33"/>
        <v>102.59629248037648</v>
      </c>
      <c r="V185" s="229" t="str">
        <f t="shared" si="34"/>
        <v>0.00108008745839303-0.00040849732588776i</v>
      </c>
      <c r="W185" s="226">
        <f t="shared" si="35"/>
        <v>-58.750203385908065</v>
      </c>
      <c r="X185" s="229">
        <f t="shared" si="36"/>
        <v>-20.717000833765187</v>
      </c>
      <c r="Y185" s="229" t="str">
        <f t="shared" si="37"/>
        <v>0.000372956062473407-0.000192461985238364i</v>
      </c>
      <c r="Z185" s="226">
        <f t="shared" si="38"/>
        <v>-67.54147333033126</v>
      </c>
      <c r="AA185" s="229">
        <f t="shared" si="39"/>
        <v>-27.295754885579775</v>
      </c>
    </row>
    <row r="186" spans="6:27" ht="12.75">
      <c r="F186" s="78">
        <v>184</v>
      </c>
      <c r="G186" s="229">
        <f>10^('Small Signal'!F186/30)</f>
        <v>1359356.3908785288</v>
      </c>
      <c r="H186" s="229" t="str">
        <f t="shared" si="27"/>
        <v>8541088.10238864i</v>
      </c>
      <c r="I186" s="229">
        <f>IF('Small Signal'!$B$37&gt;=1,Q186+0,N186+0)</f>
        <v>-40.76028171009212</v>
      </c>
      <c r="J186" s="229">
        <f>IF('Small Signal'!$B$37&gt;=1,R186,O186)</f>
        <v>-121.70730073658423</v>
      </c>
      <c r="K186" s="229">
        <f>IF('Small Signal'!$B$37&gt;=1,Z186+0,W186+0)</f>
        <v>-60.316613741578884</v>
      </c>
      <c r="L186" s="229">
        <f>IF('Small Signal'!$B$37&gt;=1,AA186,X186)</f>
        <v>-20.01398735234392</v>
      </c>
      <c r="M186" s="229" t="str">
        <f>IMDIV(IMSUM('Small Signal'!$B$2*'Small Signal'!$B$16*'Small Signal'!$B$38,IMPRODUCT(H186,'Small Signal'!$B$2*'Small Signal'!$B$16*'Small Signal'!$B$38*'Small Signal'!$B$13*'Small Signal'!$B$14)),IMSUM(IMPRODUCT('Small Signal'!$B$11*'Small Signal'!$B$13*('Small Signal'!$B$14+'Small Signal'!$B$16),IMPOWER(H186,2)),IMSUM(IMPRODUCT(H186,('Small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-0.00481531601238801-0.00779443938176367i</v>
      </c>
      <c r="N186" s="229">
        <f t="shared" si="28"/>
        <v>-40.76028171009212</v>
      </c>
      <c r="O186" s="229">
        <f t="shared" si="29"/>
        <v>-121.70730073658423</v>
      </c>
      <c r="P186" s="229" t="str">
        <f>IMDIV(IMSUM('Small Signal'!$B$48,IMPRODUCT(H186,'Small Signal'!$B$49)),IMSUM(IMPRODUCT('Small Signal'!$B$52,IMPOWER(H186,2)),IMSUM(IMPRODUCT(H186,'Small Signal'!$B$51),'Small Signal'!$B$50)))</f>
        <v>-0.00203874348376365-0.00262781925032915i</v>
      </c>
      <c r="Q186" s="229">
        <f t="shared" si="30"/>
        <v>-49.56169918348648</v>
      </c>
      <c r="R186" s="229">
        <f t="shared" si="31"/>
        <v>-127.8054166322029</v>
      </c>
      <c r="S186" s="229" t="str">
        <f>IMPRODUCT(IMDIV(IMSUM(IMPRODUCT(H186,'Small Signal'!$B$33*'Small Signal'!$B$6*'Small Signal'!$B$27*'Small Signal'!$B$7*'Small Signal'!$B$8),'Small Signal'!$B$33*'Small Signal'!$B$6*'Small Signal'!$B$27),IMSUM(IMSUM(IMPRODUCT(H186,('Small Signal'!$B$5+'Small Signal'!$B$6)*('Small Signal'!$B$32*'Small Signal'!$B$33)+'Small Signal'!$B$5*'Small Signal'!$B$33*('Small Signal'!$B$8+'Small Signal'!$B$9)+'Small Signal'!$B$6*'Small Signal'!$B$33*('Small Signal'!$B$8+'Small Signal'!$B$9)+'Small Signal'!$B$7*'Small Signal'!$B$8*('Small Signal'!$B$5+'Small Signal'!$B$6)),'Small Signal'!$B$6+'Small Signal'!$B$5),IMPRODUCT(IMPOWER(H186,2),'Small Signal'!$B$32*'Small Signal'!$B$33*'Small Signal'!$B$8*'Small Signal'!$B$7*('Small Signal'!$B$5+'Small Signal'!$B$6)+('Small Signal'!$B$5+'Small Signal'!$B$6)*('Small Signal'!$B$9*'Small Signal'!$B$8*'Small Signal'!$B$33*'Small Signal'!$B$7)))),-1)</f>
        <v>-0.0213294338085505+0.103056505738178i</v>
      </c>
      <c r="T186" s="229">
        <f t="shared" si="32"/>
        <v>-19.55633203148676</v>
      </c>
      <c r="U186" s="229">
        <f t="shared" si="33"/>
        <v>101.6933133842403</v>
      </c>
      <c r="V186" s="229" t="str">
        <f t="shared" si="34"/>
        <v>0.000905975651026092-0.000329998663393718i</v>
      </c>
      <c r="W186" s="226">
        <f t="shared" si="35"/>
        <v>-60.316613741578884</v>
      </c>
      <c r="X186" s="229">
        <f t="shared" si="36"/>
        <v>-20.01398735234392</v>
      </c>
      <c r="Y186" s="229" t="str">
        <f t="shared" si="37"/>
        <v>0.000314299113839991-0.000154055882772431i</v>
      </c>
      <c r="Z186" s="226">
        <f t="shared" si="38"/>
        <v>-69.11803121497324</v>
      </c>
      <c r="AA186" s="229">
        <f t="shared" si="39"/>
        <v>-26.112103247962583</v>
      </c>
    </row>
    <row r="187" spans="6:27" ht="12.75">
      <c r="F187" s="78">
        <v>185</v>
      </c>
      <c r="G187" s="229">
        <f>10^('Small Signal'!F187/30)</f>
        <v>1467799.2676220734</v>
      </c>
      <c r="H187" s="229" t="str">
        <f t="shared" si="27"/>
        <v>9222454.79221197i</v>
      </c>
      <c r="I187" s="229">
        <f>IF('Small Signal'!$B$37&gt;=1,Q187+0,N187+0)</f>
        <v>-41.6673543049757</v>
      </c>
      <c r="J187" s="229">
        <f>IF('Small Signal'!$B$37&gt;=1,R187,O187)</f>
        <v>-120.0968122677953</v>
      </c>
      <c r="K187" s="229">
        <f>IF('Small Signal'!$B$37&gt;=1,Z187+0,W187+0)</f>
        <v>-61.864234750656266</v>
      </c>
      <c r="L187" s="229">
        <f>IF('Small Signal'!$B$37&gt;=1,AA187,X187)</f>
        <v>-19.24527957214323</v>
      </c>
      <c r="M187" s="229" t="str">
        <f>IMDIV(IMSUM('Small Signal'!$B$2*'Small Signal'!$B$16*'Small Signal'!$B$38,IMPRODUCT(H187,'Small Signal'!$B$2*'Small Signal'!$B$16*'Small Signal'!$B$38*'Small Signal'!$B$13*'Small Signal'!$B$14)),IMSUM(IMPRODUCT('Small Signal'!$B$11*'Small Signal'!$B$13*('Small Signal'!$B$14+'Small Signal'!$B$16),IMPOWER(H187,2)),IMSUM(IMPRODUCT(H187,('Small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-0.00413876564038948-0.00714066100055605i</v>
      </c>
      <c r="N187" s="229">
        <f t="shared" si="28"/>
        <v>-41.6673543049757</v>
      </c>
      <c r="O187" s="229">
        <f t="shared" si="29"/>
        <v>-120.0968122677953</v>
      </c>
      <c r="P187" s="229" t="str">
        <f>IMDIV(IMSUM('Small Signal'!$B$48,IMPRODUCT(H187,'Small Signal'!$B$49)),IMSUM(IMPRODUCT('Small Signal'!$B$52,IMPOWER(H187,2)),IMSUM(IMPRODUCT(H187,'Small Signal'!$B$51),'Small Signal'!$B$50)))</f>
        <v>-0.00174867879169243-0.00242918438814592i</v>
      </c>
      <c r="Q187" s="229">
        <f t="shared" si="30"/>
        <v>-50.477494650602175</v>
      </c>
      <c r="R187" s="229">
        <f t="shared" si="31"/>
        <v>-125.74869914858772</v>
      </c>
      <c r="S187" s="229" t="str">
        <f>IMPRODUCT(IMDIV(IMSUM(IMPRODUCT(H187,'Small Signal'!$B$33*'Small Signal'!$B$6*'Small Signal'!$B$27*'Small Signal'!$B$7*'Small Signal'!$B$8),'Small Signal'!$B$33*'Small Signal'!$B$6*'Small Signal'!$B$27),IMSUM(IMSUM(IMPRODUCT(H187,('Small Signal'!$B$5+'Small Signal'!$B$6)*('Small Signal'!$B$32*'Small Signal'!$B$33)+'Small Signal'!$B$5*'Small Signal'!$B$33*('Small Signal'!$B$8+'Small Signal'!$B$9)+'Small Signal'!$B$6*'Small Signal'!$B$33*('Small Signal'!$B$8+'Small Signal'!$B$9)+'Small Signal'!$B$7*'Small Signal'!$B$8*('Small Signal'!$B$5+'Small Signal'!$B$6)),'Small Signal'!$B$6+'Small Signal'!$B$5),IMPRODUCT(IMPOWER(H187,2),'Small Signal'!$B$32*'Small Signal'!$B$33*'Small Signal'!$B$8*'Small Signal'!$B$7*('Small Signal'!$B$5+'Small Signal'!$B$6)+('Small Signal'!$B$5+'Small Signal'!$B$6)*('Small Signal'!$B$9*'Small Signal'!$B$8*'Small Signal'!$B$33*'Small Signal'!$B$7)))),-1)</f>
        <v>-0.0184045382876999+0.0960107340049222i</v>
      </c>
      <c r="T187" s="229">
        <f t="shared" si="32"/>
        <v>-20.196880445680556</v>
      </c>
      <c r="U187" s="229">
        <f t="shared" si="33"/>
        <v>100.85153269565211</v>
      </c>
      <c r="V187" s="229" t="str">
        <f t="shared" si="34"/>
        <v>0.000761752174636073-0.000265945358223927i</v>
      </c>
      <c r="W187" s="226">
        <f t="shared" si="35"/>
        <v>-61.864234750656266</v>
      </c>
      <c r="X187" s="229">
        <f t="shared" si="36"/>
        <v>-19.24527957214323</v>
      </c>
      <c r="Y187" s="229" t="str">
        <f t="shared" si="37"/>
        <v>0.00026541140191378-0.000123183917249716i</v>
      </c>
      <c r="Z187" s="226">
        <f t="shared" si="38"/>
        <v>-70.67437509628273</v>
      </c>
      <c r="AA187" s="229">
        <f t="shared" si="39"/>
        <v>-24.897166452935544</v>
      </c>
    </row>
    <row r="188" spans="6:27" ht="12.75">
      <c r="F188" s="78">
        <v>186</v>
      </c>
      <c r="G188" s="229">
        <f>10^('Small Signal'!F188/30)</f>
        <v>1584893.1924611153</v>
      </c>
      <c r="H188" s="229" t="str">
        <f t="shared" si="27"/>
        <v>9958177.62032063i</v>
      </c>
      <c r="I188" s="229">
        <f>IF('Small Signal'!$B$37&gt;=1,Q188+0,N188+0)</f>
        <v>-42.55222415763683</v>
      </c>
      <c r="J188" s="229">
        <f>IF('Small Signal'!$B$37&gt;=1,R188,O188)</f>
        <v>-118.49546835502781</v>
      </c>
      <c r="K188" s="229">
        <f>IF('Small Signal'!$B$37&gt;=1,Z188+0,W188+0)</f>
        <v>-63.39324388815153</v>
      </c>
      <c r="L188" s="229">
        <f>IF('Small Signal'!$B$37&gt;=1,AA188,X188)</f>
        <v>-18.4279584559643</v>
      </c>
      <c r="M188" s="229" t="str">
        <f>IMDIV(IMSUM('Small Signal'!$B$2*'Small Signal'!$B$16*'Small Signal'!$B$38,IMPRODUCT(H188,'Small Signal'!$B$2*'Small Signal'!$B$16*'Small Signal'!$B$38*'Small Signal'!$B$13*'Small Signal'!$B$14)),IMSUM(IMPRODUCT('Small Signal'!$B$11*'Small Signal'!$B$13*('Small Signal'!$B$14+'Small Signal'!$B$16),IMPOWER(H188,2)),IMSUM(IMPRODUCT(H188,('Small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-0.00355621839604722-0.00655097505283307i</v>
      </c>
      <c r="N188" s="229">
        <f t="shared" si="28"/>
        <v>-42.55222415763683</v>
      </c>
      <c r="O188" s="229">
        <f t="shared" si="29"/>
        <v>-118.49546835502781</v>
      </c>
      <c r="P188" s="229" t="str">
        <f>IMDIV(IMSUM('Small Signal'!$B$48,IMPRODUCT(H188,'Small Signal'!$B$49)),IMSUM(IMPRODUCT('Small Signal'!$B$52,IMPOWER(H188,2)),IMSUM(IMPRODUCT(H188,'Small Signal'!$B$51),'Small Signal'!$B$50)))</f>
        <v>-0.00149987646349205-0.00224614785723558i</v>
      </c>
      <c r="Q188" s="229">
        <f t="shared" si="30"/>
        <v>-51.36986038897186</v>
      </c>
      <c r="R188" s="229">
        <f t="shared" si="31"/>
        <v>-123.73321602930113</v>
      </c>
      <c r="S188" s="229" t="str">
        <f>IMPRODUCT(IMDIV(IMSUM(IMPRODUCT(H188,'Small Signal'!$B$33*'Small Signal'!$B$6*'Small Signal'!$B$27*'Small Signal'!$B$7*'Small Signal'!$B$8),'Small Signal'!$B$33*'Small Signal'!$B$6*'Small Signal'!$B$27),IMSUM(IMSUM(IMPRODUCT(H188,('Small Signal'!$B$5+'Small Signal'!$B$6)*('Small Signal'!$B$32*'Small Signal'!$B$33)+'Small Signal'!$B$5*'Small Signal'!$B$33*('Small Signal'!$B$8+'Small Signal'!$B$9)+'Small Signal'!$B$6*'Small Signal'!$B$33*('Small Signal'!$B$8+'Small Signal'!$B$9)+'Small Signal'!$B$7*'Small Signal'!$B$8*('Small Signal'!$B$5+'Small Signal'!$B$6)),'Small Signal'!$B$6+'Small Signal'!$B$5),IMPRODUCT(IMPOWER(H188,2),'Small Signal'!$B$32*'Small Signal'!$B$33*'Small Signal'!$B$8*'Small Signal'!$B$7*('Small Signal'!$B$5+'Small Signal'!$B$6)+('Small Signal'!$B$5+'Small Signal'!$B$6)*('Small Signal'!$B$9*'Small Signal'!$B$8*'Small Signal'!$B$33*'Small Signal'!$B$7)))),-1)</f>
        <v>-0.0158676048457953+0.0893737400137108i</v>
      </c>
      <c r="T188" s="229">
        <f t="shared" si="32"/>
        <v>-20.841019730514695</v>
      </c>
      <c r="U188" s="229">
        <f t="shared" si="33"/>
        <v>100.06750989906355</v>
      </c>
      <c r="V188" s="229" t="str">
        <f t="shared" si="34"/>
        <v>0.000641913809462033-0.000213884254867282i</v>
      </c>
      <c r="W188" s="226">
        <f t="shared" si="35"/>
        <v>-63.39324388815153</v>
      </c>
      <c r="X188" s="229">
        <f t="shared" si="36"/>
        <v>-18.4279584559643</v>
      </c>
      <c r="Y188" s="229" t="str">
        <f t="shared" si="37"/>
        <v>0.000224546081665127-0.0000984085824769785i</v>
      </c>
      <c r="Z188" s="226">
        <f t="shared" si="38"/>
        <v>-72.21088011948656</v>
      </c>
      <c r="AA188" s="229">
        <f t="shared" si="39"/>
        <v>-23.665706130237595</v>
      </c>
    </row>
    <row r="189" spans="6:27" ht="12.75">
      <c r="F189" s="78">
        <v>187</v>
      </c>
      <c r="G189" s="229">
        <f>10^('Small Signal'!F189/30)</f>
        <v>1711328.3041617833</v>
      </c>
      <c r="H189" s="229" t="str">
        <f t="shared" si="27"/>
        <v>10752592.8564699i</v>
      </c>
      <c r="I189" s="229">
        <f>IF('Small Signal'!$B$37&gt;=1,Q189+0,N189+0)</f>
        <v>-43.41584810314315</v>
      </c>
      <c r="J189" s="229">
        <f>IF('Small Signal'!$B$37&gt;=1,R189,O189)</f>
        <v>-116.91553030267801</v>
      </c>
      <c r="K189" s="229">
        <f>IF('Small Signal'!$B$37&gt;=1,Z189+0,W189+0)</f>
        <v>-64.90411929386099</v>
      </c>
      <c r="L189" s="229">
        <f>IF('Small Signal'!$B$37&gt;=1,AA189,X189)</f>
        <v>-17.577677565168248</v>
      </c>
      <c r="M189" s="229" t="str">
        <f>IMDIV(IMSUM('Small Signal'!$B$2*'Small Signal'!$B$16*'Small Signal'!$B$38,IMPRODUCT(H189,'Small Signal'!$B$2*'Small Signal'!$B$16*'Small Signal'!$B$38*'Small Signal'!$B$13*'Small Signal'!$B$14)),IMSUM(IMPRODUCT('Small Signal'!$B$11*'Small Signal'!$B$13*('Small Signal'!$B$14+'Small Signal'!$B$16),IMPOWER(H189,2)),IMSUM(IMPRODUCT(H189,('Small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-0.00305488922226963-0.00601747255479273i</v>
      </c>
      <c r="N189" s="229">
        <f t="shared" si="28"/>
        <v>-43.41584810314315</v>
      </c>
      <c r="O189" s="229">
        <f t="shared" si="29"/>
        <v>-116.91553030267801</v>
      </c>
      <c r="P189" s="229" t="str">
        <f>IMDIV(IMSUM('Small Signal'!$B$48,IMPRODUCT(H189,'Small Signal'!$B$49)),IMSUM(IMPRODUCT('Small Signal'!$B$52,IMPOWER(H189,2)),IMSUM(IMPRODUCT(H189,'Small Signal'!$B$51),'Small Signal'!$B$50)))</f>
        <v>-0.00128646866855665-0.00207736746488594i</v>
      </c>
      <c r="Q189" s="229">
        <f t="shared" si="30"/>
        <v>-52.23992409199781</v>
      </c>
      <c r="R189" s="229">
        <f t="shared" si="31"/>
        <v>-121.76903589546367</v>
      </c>
      <c r="S189" s="229" t="str">
        <f>IMPRODUCT(IMDIV(IMSUM(IMPRODUCT(H189,'Small Signal'!$B$33*'Small Signal'!$B$6*'Small Signal'!$B$27*'Small Signal'!$B$7*'Small Signal'!$B$8),'Small Signal'!$B$33*'Small Signal'!$B$6*'Small Signal'!$B$27),IMSUM(IMSUM(IMPRODUCT(H189,('Small Signal'!$B$5+'Small Signal'!$B$6)*('Small Signal'!$B$32*'Small Signal'!$B$33)+'Small Signal'!$B$5*'Small Signal'!$B$33*('Small Signal'!$B$8+'Small Signal'!$B$9)+'Small Signal'!$B$6*'Small Signal'!$B$33*('Small Signal'!$B$8+'Small Signal'!$B$9)+'Small Signal'!$B$7*'Small Signal'!$B$8*('Small Signal'!$B$5+'Small Signal'!$B$6)),'Small Signal'!$B$6+'Small Signal'!$B$5),IMPRODUCT(IMPOWER(H189,2),'Small Signal'!$B$32*'Small Signal'!$B$33*'Small Signal'!$B$8*'Small Signal'!$B$7*('Small Signal'!$B$5+'Small Signal'!$B$6)+('Small Signal'!$B$5+'Small Signal'!$B$6)*('Small Signal'!$B$9*'Small Signal'!$B$8*'Small Signal'!$B$33*'Small Signal'!$B$7)))),-1)</f>
        <v>-0.013670567859497+0.0831367455110167i</v>
      </c>
      <c r="T189" s="229">
        <f t="shared" si="32"/>
        <v>-21.488271190717853</v>
      </c>
      <c r="U189" s="229">
        <f t="shared" si="33"/>
        <v>99.33785273750973</v>
      </c>
      <c r="V189" s="229" t="str">
        <f t="shared" si="34"/>
        <v>0.000542035154823614-0.000171711280933223i</v>
      </c>
      <c r="W189" s="226">
        <f t="shared" si="35"/>
        <v>-64.90411929386099</v>
      </c>
      <c r="X189" s="229">
        <f t="shared" si="36"/>
        <v>-17.577677565168248</v>
      </c>
      <c r="Y189" s="229" t="str">
        <f t="shared" si="37"/>
        <v>0.000190292327493709-0.0000785540254078562i</v>
      </c>
      <c r="Z189" s="226">
        <f t="shared" si="38"/>
        <v>-73.72819528271565</v>
      </c>
      <c r="AA189" s="229">
        <f t="shared" si="39"/>
        <v>-22.431183157953942</v>
      </c>
    </row>
    <row r="190" spans="6:27" ht="12.75">
      <c r="F190" s="78">
        <v>188</v>
      </c>
      <c r="G190" s="229">
        <f>10^('Small Signal'!F190/30)</f>
        <v>1847849.797422294</v>
      </c>
      <c r="H190" s="229" t="str">
        <f t="shared" si="27"/>
        <v>11610382.6970385i</v>
      </c>
      <c r="I190" s="229">
        <f>IF('Small Signal'!$B$37&gt;=1,Q190+0,N190+0)</f>
        <v>-44.25936894035725</v>
      </c>
      <c r="J190" s="229">
        <f>IF('Small Signal'!$B$37&gt;=1,R190,O190)</f>
        <v>-115.36771428766308</v>
      </c>
      <c r="K190" s="229">
        <f>IF('Small Signal'!$B$37&gt;=1,Z190+0,W190+0)</f>
        <v>-66.39758500275023</v>
      </c>
      <c r="L190" s="229">
        <f>IF('Small Signal'!$B$37&gt;=1,AA190,X190)</f>
        <v>-16.708463255825333</v>
      </c>
      <c r="M190" s="229" t="str">
        <f>IMDIV(IMSUM('Small Signal'!$B$2*'Small Signal'!$B$16*'Small Signal'!$B$38,IMPRODUCT(H190,'Small Signal'!$B$2*'Small Signal'!$B$16*'Small Signal'!$B$38*'Small Signal'!$B$13*'Small Signal'!$B$14)),IMSUM(IMPRODUCT('Small Signal'!$B$11*'Small Signal'!$B$13*('Small Signal'!$B$14+'Small Signal'!$B$16),IMPOWER(H190,2)),IMSUM(IMPRODUCT(H190,('Small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-0.00262365916430623-0.00553345839639708i</v>
      </c>
      <c r="N190" s="229">
        <f t="shared" si="28"/>
        <v>-44.25936894035725</v>
      </c>
      <c r="O190" s="229">
        <f t="shared" si="29"/>
        <v>-115.36771428766308</v>
      </c>
      <c r="P190" s="229" t="str">
        <f>IMDIV(IMSUM('Small Signal'!$B$48,IMPRODUCT(H190,'Small Signal'!$B$49)),IMSUM(IMPRODUCT('Small Signal'!$B$52,IMPOWER(H190,2)),IMSUM(IMPRODUCT(H190,'Small Signal'!$B$51),'Small Signal'!$B$50)))</f>
        <v>-0.00110342154259874-0.00192163919418878i</v>
      </c>
      <c r="Q190" s="229">
        <f t="shared" si="30"/>
        <v>-53.08897607996598</v>
      </c>
      <c r="R190" s="229">
        <f t="shared" si="31"/>
        <v>-119.86480837371467</v>
      </c>
      <c r="S190" s="229" t="str">
        <f>IMPRODUCT(IMDIV(IMSUM(IMPRODUCT(H190,'Small Signal'!$B$33*'Small Signal'!$B$6*'Small Signal'!$B$27*'Small Signal'!$B$7*'Small Signal'!$B$8),'Small Signal'!$B$33*'Small Signal'!$B$6*'Small Signal'!$B$27),IMSUM(IMSUM(IMPRODUCT(H190,('Small Signal'!$B$5+'Small Signal'!$B$6)*('Small Signal'!$B$32*'Small Signal'!$B$33)+'Small Signal'!$B$5*'Small Signal'!$B$33*('Small Signal'!$B$8+'Small Signal'!$B$9)+'Small Signal'!$B$6*'Small Signal'!$B$33*('Small Signal'!$B$8+'Small Signal'!$B$9)+'Small Signal'!$B$7*'Small Signal'!$B$8*('Small Signal'!$B$5+'Small Signal'!$B$6)),'Small Signal'!$B$6+'Small Signal'!$B$5),IMPRODUCT(IMPOWER(H190,2),'Small Signal'!$B$32*'Small Signal'!$B$33*'Small Signal'!$B$8*'Small Signal'!$B$7*('Small Signal'!$B$5+'Small Signal'!$B$6)+('Small Signal'!$B$5+'Small Signal'!$B$6)*('Small Signal'!$B$9*'Small Signal'!$B$8*'Small Signal'!$B$33*'Small Signal'!$B$7)))),-1)</f>
        <v>-0.0117704304676607+0.0772876916348467i</v>
      </c>
      <c r="T190" s="229">
        <f t="shared" si="32"/>
        <v>-22.13821606239298</v>
      </c>
      <c r="U190" s="229">
        <f t="shared" si="33"/>
        <v>98.6592510318377</v>
      </c>
      <c r="V190" s="229" t="str">
        <f t="shared" si="34"/>
        <v>0.000458549823979298-0.000137645373145354i</v>
      </c>
      <c r="W190" s="226">
        <f t="shared" si="35"/>
        <v>-66.39758500275023</v>
      </c>
      <c r="X190" s="229">
        <f t="shared" si="36"/>
        <v>-16.708463255825333</v>
      </c>
      <c r="Y190" s="229" t="str">
        <f t="shared" si="37"/>
        <v>0.000161506804017575-0.0000626623834084877i</v>
      </c>
      <c r="Z190" s="226">
        <f t="shared" si="38"/>
        <v>-75.22719214235897</v>
      </c>
      <c r="AA190" s="229">
        <f t="shared" si="39"/>
        <v>-21.205557341876965</v>
      </c>
    </row>
    <row r="191" spans="6:27" ht="12.75">
      <c r="F191" s="78">
        <v>189</v>
      </c>
      <c r="G191" s="229">
        <f>10^('Small Signal'!F191/30)</f>
        <v>1995262.31496888</v>
      </c>
      <c r="H191" s="229" t="str">
        <f t="shared" si="27"/>
        <v>12536602.8613816i</v>
      </c>
      <c r="I191" s="229">
        <f>IF('Small Signal'!$B$37&gt;=1,Q191+0,N191+0)</f>
        <v>-45.084065744005315</v>
      </c>
      <c r="J191" s="229">
        <f>IF('Small Signal'!$B$37&gt;=1,R191,O191)</f>
        <v>-113.86110325074134</v>
      </c>
      <c r="K191" s="229">
        <f>IF('Small Signal'!$B$37&gt;=1,Z191+0,W191+0)</f>
        <v>-67.87455476827736</v>
      </c>
      <c r="L191" s="229">
        <f>IF('Small Signal'!$B$37&gt;=1,AA191,X191)</f>
        <v>-15.832601454980933</v>
      </c>
      <c r="M191" s="229" t="str">
        <f>IMDIV(IMSUM('Small Signal'!$B$2*'Small Signal'!$B$16*'Small Signal'!$B$38,IMPRODUCT(H191,'Small Signal'!$B$2*'Small Signal'!$B$16*'Small Signal'!$B$38*'Small Signal'!$B$13*'Small Signal'!$B$14)),IMSUM(IMPRODUCT('Small Signal'!$B$11*'Small Signal'!$B$13*('Small Signal'!$B$14+'Small Signal'!$B$16),IMPOWER(H191,2)),IMSUM(IMPRODUCT(H191,('Small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-0.00225287761806704-0.00509323943057383i</v>
      </c>
      <c r="N191" s="229">
        <f t="shared" si="28"/>
        <v>-45.084065744005315</v>
      </c>
      <c r="O191" s="229">
        <f t="shared" si="29"/>
        <v>-113.86110325074134</v>
      </c>
      <c r="P191" s="229" t="str">
        <f>IMDIV(IMSUM('Small Signal'!$B$48,IMPRODUCT(H191,'Small Signal'!$B$49)),IMSUM(IMPRODUCT('Small Signal'!$B$52,IMPOWER(H191,2)),IMSUM(IMPRODUCT(H191,'Small Signal'!$B$51),'Small Signal'!$B$50)))</f>
        <v>-0.000946416788315746-0.00177787897701748i</v>
      </c>
      <c r="Q191" s="229">
        <f t="shared" si="30"/>
        <v>-53.91842267975434</v>
      </c>
      <c r="R191" s="229">
        <f t="shared" si="31"/>
        <v>-118.02767380130925</v>
      </c>
      <c r="S191" s="229" t="str">
        <f>IMPRODUCT(IMDIV(IMSUM(IMPRODUCT(H191,'Small Signal'!$B$33*'Small Signal'!$B$6*'Small Signal'!$B$27*'Small Signal'!$B$7*'Small Signal'!$B$8),'Small Signal'!$B$33*'Small Signal'!$B$6*'Small Signal'!$B$27),IMSUM(IMSUM(IMPRODUCT(H191,('Small Signal'!$B$5+'Small Signal'!$B$6)*('Small Signal'!$B$32*'Small Signal'!$B$33)+'Small Signal'!$B$5*'Small Signal'!$B$33*('Small Signal'!$B$8+'Small Signal'!$B$9)+'Small Signal'!$B$6*'Small Signal'!$B$33*('Small Signal'!$B$8+'Small Signal'!$B$9)+'Small Signal'!$B$7*'Small Signal'!$B$8*('Small Signal'!$B$5+'Small Signal'!$B$6)),'Small Signal'!$B$6+'Small Signal'!$B$5),IMPRODUCT(IMPOWER(H191,2),'Small Signal'!$B$32*'Small Signal'!$B$33*'Small Signal'!$B$8*'Small Signal'!$B$7*('Small Signal'!$B$5+'Small Signal'!$B$6)+('Small Signal'!$B$5+'Small Signal'!$B$6)*('Small Signal'!$B$9*'Small Signal'!$B$8*'Small Signal'!$B$33*'Small Signal'!$B$7)))),-1)</f>
        <v>-0.0101289700880233+0.0718121463002424i</v>
      </c>
      <c r="T191" s="229">
        <f t="shared" si="32"/>
        <v>-22.79048902427205</v>
      </c>
      <c r="U191" s="229">
        <f t="shared" si="33"/>
        <v>98.02850179576045</v>
      </c>
      <c r="V191" s="229" t="str">
        <f t="shared" si="34"/>
        <v>0.000388575785135909-0.000110194707261749i</v>
      </c>
      <c r="W191" s="226">
        <f t="shared" si="35"/>
        <v>-67.87455476827736</v>
      </c>
      <c r="X191" s="229">
        <f t="shared" si="36"/>
        <v>-15.832601454980933</v>
      </c>
      <c r="Y191" s="229" t="str">
        <f t="shared" si="37"/>
        <v>0.000137259532541358-0.0000499561378852004i</v>
      </c>
      <c r="Z191" s="226">
        <f t="shared" si="38"/>
        <v>-76.70891170402638</v>
      </c>
      <c r="AA191" s="229">
        <f t="shared" si="39"/>
        <v>-19.999172005548797</v>
      </c>
    </row>
    <row r="192" spans="6:27" ht="12.75">
      <c r="F192" s="78">
        <v>190</v>
      </c>
      <c r="G192" s="229">
        <f>10^('Small Signal'!F192/30)</f>
        <v>2154434.6900318847</v>
      </c>
      <c r="H192" s="229" t="str">
        <f t="shared" si="27"/>
        <v>13536712.3896863i</v>
      </c>
      <c r="I192" s="229">
        <f>IF('Small Signal'!$B$37&gt;=1,Q192+0,N192+0)</f>
        <v>-45.89130553126749</v>
      </c>
      <c r="J192" s="229">
        <f>IF('Small Signal'!$B$37&gt;=1,R192,O192)</f>
        <v>-112.40313193635818</v>
      </c>
      <c r="K192" s="229">
        <f>IF('Small Signal'!$B$37&gt;=1,Z192+0,W192+0)</f>
        <v>-69.33607766873199</v>
      </c>
      <c r="L192" s="229">
        <f>IF('Small Signal'!$B$37&gt;=1,AA192,X192)</f>
        <v>-14.960604803084848</v>
      </c>
      <c r="M192" s="229" t="str">
        <f>IMDIV(IMSUM('Small Signal'!$B$2*'Small Signal'!$B$16*'Small Signal'!$B$38,IMPRODUCT(H192,'Small Signal'!$B$2*'Small Signal'!$B$16*'Small Signal'!$B$38*'Small Signal'!$B$13*'Small Signal'!$B$14)),IMSUM(IMPRODUCT('Small Signal'!$B$11*'Small Signal'!$B$13*('Small Signal'!$B$14+'Small Signal'!$B$16),IMPOWER(H192,2)),IMSUM(IMPRODUCT(H192,('Small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-0.00193418274509106-0.00469195110499745i</v>
      </c>
      <c r="N192" s="229">
        <f t="shared" si="28"/>
        <v>-45.89130553126749</v>
      </c>
      <c r="O192" s="229">
        <f t="shared" si="29"/>
        <v>-112.40313193635818</v>
      </c>
      <c r="P192" s="229" t="str">
        <f>IMDIV(IMSUM('Small Signal'!$B$48,IMPRODUCT(H192,'Small Signal'!$B$49)),IMSUM(IMPRODUCT('Small Signal'!$B$52,IMPOWER(H192,2)),IMSUM(IMPRODUCT(H192,'Small Signal'!$B$51),'Small Signal'!$B$50)))</f>
        <v>-0.000811750051443954-0.00164510746107128i</v>
      </c>
      <c r="Q192" s="229">
        <f t="shared" si="30"/>
        <v>-54.72974058768105</v>
      </c>
      <c r="R192" s="229">
        <f t="shared" si="31"/>
        <v>-116.26324485058602</v>
      </c>
      <c r="S192" s="229" t="str">
        <f>IMPRODUCT(IMDIV(IMSUM(IMPRODUCT(H192,'Small Signal'!$B$33*'Small Signal'!$B$6*'Small Signal'!$B$27*'Small Signal'!$B$7*'Small Signal'!$B$8),'Small Signal'!$B$33*'Small Signal'!$B$6*'Small Signal'!$B$27),IMSUM(IMSUM(IMPRODUCT(H192,('Small Signal'!$B$5+'Small Signal'!$B$6)*('Small Signal'!$B$32*'Small Signal'!$B$33)+'Small Signal'!$B$5*'Small Signal'!$B$33*('Small Signal'!$B$8+'Small Signal'!$B$9)+'Small Signal'!$B$6*'Small Signal'!$B$33*('Small Signal'!$B$8+'Small Signal'!$B$9)+'Small Signal'!$B$7*'Small Signal'!$B$8*('Small Signal'!$B$5+'Small Signal'!$B$6)),'Small Signal'!$B$6+'Small Signal'!$B$5),IMPRODUCT(IMPOWER(H192,2),'Small Signal'!$B$32*'Small Signal'!$B$33*'Small Signal'!$B$8*'Small Signal'!$B$7*('Small Signal'!$B$5+'Small Signal'!$B$6)+('Small Signal'!$B$5+'Small Signal'!$B$6)*('Small Signal'!$B$9*'Small Signal'!$B$8*'Small Signal'!$B$33*'Small Signal'!$B$7)))),-1)</f>
        <v>-0.00871238747498057+0.0666940498372805i</v>
      </c>
      <c r="T192" s="229">
        <f t="shared" si="32"/>
        <v>-23.444772137464504</v>
      </c>
      <c r="U192" s="229">
        <f t="shared" si="33"/>
        <v>97.44252713327334</v>
      </c>
      <c r="V192" s="229" t="str">
        <f t="shared" si="34"/>
        <v>0.000329776570353438-0.0000881203843551101i</v>
      </c>
      <c r="W192" s="226">
        <f t="shared" si="35"/>
        <v>-69.33607766873199</v>
      </c>
      <c r="X192" s="229">
        <f t="shared" si="36"/>
        <v>-14.960604803084848</v>
      </c>
      <c r="Y192" s="229" t="str">
        <f t="shared" si="37"/>
        <v>0.000116791159977385-0.0000398060847475836i</v>
      </c>
      <c r="Z192" s="226">
        <f t="shared" si="38"/>
        <v>-78.17451272514555</v>
      </c>
      <c r="AA192" s="229">
        <f t="shared" si="39"/>
        <v>-18.820717717312707</v>
      </c>
    </row>
    <row r="193" spans="6:27" ht="12.75">
      <c r="F193" s="78">
        <v>191</v>
      </c>
      <c r="G193" s="229">
        <f>10^('Small Signal'!F193/30)</f>
        <v>2326305.067153628</v>
      </c>
      <c r="H193" s="229" t="str">
        <f t="shared" si="27"/>
        <v>14616605.8179571i</v>
      </c>
      <c r="I193" s="229">
        <f>IF('Small Signal'!$B$37&gt;=1,Q193+0,N193+0)</f>
        <v>-46.682498786978684</v>
      </c>
      <c r="J193" s="229">
        <f>IF('Small Signal'!$B$37&gt;=1,R193,O193)</f>
        <v>-110.99963516305924</v>
      </c>
      <c r="K193" s="229">
        <f>IF('Small Signal'!$B$37&gt;=1,Z193+0,W193+0)</f>
        <v>-70.7832880549748</v>
      </c>
      <c r="L193" s="229">
        <f>IF('Small Signal'!$B$37&gt;=1,AA193,X193)</f>
        <v>-14.101248919156335</v>
      </c>
      <c r="M193" s="229" t="str">
        <f>IMDIV(IMSUM('Small Signal'!$B$2*'Small Signal'!$B$16*'Small Signal'!$B$38,IMPRODUCT(H193,'Small Signal'!$B$2*'Small Signal'!$B$16*'Small Signal'!$B$38*'Small Signal'!$B$13*'Small Signal'!$B$14)),IMSUM(IMPRODUCT('Small Signal'!$B$11*'Small Signal'!$B$13*('Small Signal'!$B$14+'Small Signal'!$B$16),IMPOWER(H193,2)),IMSUM(IMPRODUCT(H193,('Small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-0.00166033995196373-0.00432541577570238i</v>
      </c>
      <c r="N193" s="229">
        <f t="shared" si="28"/>
        <v>-46.682498786978684</v>
      </c>
      <c r="O193" s="229">
        <f t="shared" si="29"/>
        <v>-110.99963516305924</v>
      </c>
      <c r="P193" s="229" t="str">
        <f>IMDIV(IMSUM('Small Signal'!$B$48,IMPRODUCT(H193,'Small Signal'!$B$49)),IMSUM(IMPRODUCT('Small Signal'!$B$52,IMPOWER(H193,2)),IMSUM(IMPRODUCT(H193,'Small Signal'!$B$51),'Small Signal'!$B$50)))</f>
        <v>-0.000696243704364249-0.0015224372115023i</v>
      </c>
      <c r="Q193" s="229">
        <f t="shared" si="30"/>
        <v>-55.52443475585911</v>
      </c>
      <c r="R193" s="229">
        <f t="shared" si="31"/>
        <v>-114.57565050793434</v>
      </c>
      <c r="S193" s="229" t="str">
        <f>IMPRODUCT(IMDIV(IMSUM(IMPRODUCT(H193,'Small Signal'!$B$33*'Small Signal'!$B$6*'Small Signal'!$B$27*'Small Signal'!$B$7*'Small Signal'!$B$8),'Small Signal'!$B$33*'Small Signal'!$B$6*'Small Signal'!$B$27),IMSUM(IMSUM(IMPRODUCT(H193,('Small Signal'!$B$5+'Small Signal'!$B$6)*('Small Signal'!$B$32*'Small Signal'!$B$33)+'Small Signal'!$B$5*'Small Signal'!$B$33*('Small Signal'!$B$8+'Small Signal'!$B$9)+'Small Signal'!$B$6*'Small Signal'!$B$33*('Small Signal'!$B$8+'Small Signal'!$B$9)+'Small Signal'!$B$7*'Small Signal'!$B$8*('Small Signal'!$B$5+'Small Signal'!$B$6)),'Small Signal'!$B$6+'Small Signal'!$B$5),IMPRODUCT(IMPOWER(H193,2),'Small Signal'!$B$32*'Small Signal'!$B$33*'Small Signal'!$B$8*'Small Signal'!$B$7*('Small Signal'!$B$5+'Small Signal'!$B$6)+('Small Signal'!$B$5+'Small Signal'!$B$6)*('Small Signal'!$B$9*'Small Signal'!$B$8*'Small Signal'!$B$33*'Small Signal'!$B$7)))),-1)</f>
        <v>-0.00749092837448952+0.0619163183051471i</v>
      </c>
      <c r="T193" s="229">
        <f t="shared" si="32"/>
        <v>-24.10078926799613</v>
      </c>
      <c r="U193" s="229">
        <f t="shared" si="33"/>
        <v>96.8983862439029</v>
      </c>
      <c r="V193" s="229" t="str">
        <f t="shared" si="34"/>
        <v>0.000280251307627957-0.0000704007571948654i</v>
      </c>
      <c r="W193" s="226">
        <f t="shared" si="35"/>
        <v>-70.7832880549748</v>
      </c>
      <c r="X193" s="229">
        <f t="shared" si="36"/>
        <v>-14.101248919156335</v>
      </c>
      <c r="Y193" s="229" t="str">
        <f t="shared" si="37"/>
        <v>0.0000994792187075588-0.0000317043787113503i</v>
      </c>
      <c r="Z193" s="226">
        <f t="shared" si="38"/>
        <v>-79.62522402385524</v>
      </c>
      <c r="AA193" s="229">
        <f t="shared" si="39"/>
        <v>-17.677264264031436</v>
      </c>
    </row>
    <row r="194" spans="6:27" ht="12.75">
      <c r="F194" s="78">
        <v>192</v>
      </c>
      <c r="G194" s="229">
        <f>10^('Small Signal'!F194/30)</f>
        <v>2511886.431509587</v>
      </c>
      <c r="H194" s="229" t="str">
        <f aca="true" t="shared" si="40" ref="H194:H212">COMPLEX(0,G194*2*PI())</f>
        <v>15782647.9197648i</v>
      </c>
      <c r="I194" s="229">
        <f>IF('Small Signal'!$B$37&gt;=1,Q194+0,N194+0)</f>
        <v>-47.459060609008105</v>
      </c>
      <c r="J194" s="229">
        <f>IF('Small Signal'!$B$37&gt;=1,R194,O194)</f>
        <v>-109.65494623491661</v>
      </c>
      <c r="K194" s="229">
        <f>IF('Small Signal'!$B$37&gt;=1,Z194+0,W194+0)</f>
        <v>-72.21736162262263</v>
      </c>
      <c r="L194" s="229">
        <f>IF('Small Signal'!$B$37&gt;=1,AA194,X194)</f>
        <v>-13.261663545126623</v>
      </c>
      <c r="M194" s="229" t="str">
        <f>IMDIV(IMSUM('Small Signal'!$B$2*'Small Signal'!$B$16*'Small Signal'!$B$38,IMPRODUCT(H194,'Small Signal'!$B$2*'Small Signal'!$B$16*'Small Signal'!$B$38*'Small Signal'!$B$13*'Small Signal'!$B$14)),IMSUM(IMPRODUCT('Small Signal'!$B$11*'Small Signal'!$B$13*('Small Signal'!$B$14+'Small Signal'!$B$16),IMPOWER(H194,2)),IMSUM(IMPRODUCT(H194,('Small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-0.00142509774532498-0.00399002696269263i</v>
      </c>
      <c r="N194" s="229">
        <f aca="true" t="shared" si="41" ref="N194:N212">20*LOG(IMABS(M194))</f>
        <v>-47.459060609008105</v>
      </c>
      <c r="O194" s="229">
        <f aca="true" t="shared" si="42" ref="O194:O212">(180/PI())*IMARGUMENT(M194)</f>
        <v>-109.65494623491661</v>
      </c>
      <c r="P194" s="229" t="str">
        <f>IMDIV(IMSUM('Small Signal'!$B$48,IMPRODUCT(H194,'Small Signal'!$B$49)),IMSUM(IMPRODUCT('Small Signal'!$B$52,IMPOWER(H194,2)),IMSUM(IMPRODUCT(H194,'Small Signal'!$B$51),'Small Signal'!$B$50)))</f>
        <v>-0.000597172001260815-0.00140906189837491i</v>
      </c>
      <c r="Q194" s="229">
        <f aca="true" t="shared" si="43" ref="Q194:Q212">20*LOG(IMABS(P194))</f>
        <v>-56.304001598890196</v>
      </c>
      <c r="R194" s="229">
        <f aca="true" t="shared" si="44" ref="R194:R212">(180/PI())*IMARGUMENT(P194)</f>
        <v>-112.96762959810482</v>
      </c>
      <c r="S194" s="229" t="str">
        <f>IMPRODUCT(IMDIV(IMSUM(IMPRODUCT(H194,'Small Signal'!$B$33*'Small Signal'!$B$6*'Small Signal'!$B$27*'Small Signal'!$B$7*'Small Signal'!$B$8),'Small Signal'!$B$33*'Small Signal'!$B$6*'Small Signal'!$B$27),IMSUM(IMSUM(IMPRODUCT(H194,('Small Signal'!$B$5+'Small Signal'!$B$6)*('Small Signal'!$B$32*'Small Signal'!$B$33)+'Small Signal'!$B$5*'Small Signal'!$B$33*('Small Signal'!$B$8+'Small Signal'!$B$9)+'Small Signal'!$B$6*'Small Signal'!$B$33*('Small Signal'!$B$8+'Small Signal'!$B$9)+'Small Signal'!$B$7*'Small Signal'!$B$8*('Small Signal'!$B$5+'Small Signal'!$B$6)),'Small Signal'!$B$6+'Small Signal'!$B$5),IMPRODUCT(IMPOWER(H194,2),'Small Signal'!$B$32*'Small Signal'!$B$33*'Small Signal'!$B$8*'Small Signal'!$B$7*('Small Signal'!$B$5+'Small Signal'!$B$6)+('Small Signal'!$B$5+'Small Signal'!$B$6)*('Small Signal'!$B$9*'Small Signal'!$B$8*'Small Signal'!$B$33*'Small Signal'!$B$7)))),-1)</f>
        <v>-0.00643849882177168+0.0574613242123484i</v>
      </c>
      <c r="T194" s="229">
        <f aca="true" t="shared" si="45" ref="T194:T212">20*LOG(IMABS(S194))</f>
        <v>-24.758301013614528</v>
      </c>
      <c r="U194" s="229">
        <f aca="true" t="shared" si="46" ref="U194:U212">(180/PI())*IMARGUMENT(S194)</f>
        <v>96.39328268979001</v>
      </c>
      <c r="V194" s="229" t="str">
        <f aca="true" t="shared" si="47" ref="V194:V212">IMPRODUCT(M194,S194)</f>
        <v>0.000238447723073477-0.0000561982196802717i</v>
      </c>
      <c r="W194" s="226">
        <f aca="true" t="shared" si="48" ref="W194:W212">20*LOG(IMABS(V194))</f>
        <v>-72.21736162262263</v>
      </c>
      <c r="X194" s="229">
        <f aca="true" t="shared" si="49" ref="X194:X212">(180/PI())*IMARGUMENT(V194)</f>
        <v>-13.261663545126623</v>
      </c>
      <c r="Y194" s="229" t="str">
        <f aca="true" t="shared" si="50" ref="Y194:Y212">IMPRODUCT(P194,S194)</f>
        <v>0.0000848114538043006-0.0000252420506024944i</v>
      </c>
      <c r="Z194" s="226">
        <f aca="true" t="shared" si="51" ref="Z194:Z212">20*LOG(IMABS(Y194))</f>
        <v>-81.06230261250472</v>
      </c>
      <c r="AA194" s="229">
        <f aca="true" t="shared" si="52" ref="AA194:AA212">(180/PI())*IMARGUMENT(Y194)</f>
        <v>-16.57434690831481</v>
      </c>
    </row>
    <row r="195" spans="6:27" ht="12.75">
      <c r="F195" s="78">
        <v>193</v>
      </c>
      <c r="G195" s="229">
        <f>10^('Small Signal'!F195/30)</f>
        <v>2712272.579332032</v>
      </c>
      <c r="H195" s="229" t="str">
        <f t="shared" si="40"/>
        <v>17041711.2195251i</v>
      </c>
      <c r="I195" s="229">
        <f>IF('Small Signal'!$B$37&gt;=1,Q195+0,N195+0)</f>
        <v>-48.222378469789206</v>
      </c>
      <c r="J195" s="229">
        <f>IF('Small Signal'!$B$37&gt;=1,R195,O195)</f>
        <v>-108.37203122240447</v>
      </c>
      <c r="K195" s="229">
        <f>IF('Small Signal'!$B$37&gt;=1,Z195+0,W195+0)</f>
        <v>-73.63947860278562</v>
      </c>
      <c r="L195" s="229">
        <f>IF('Small Signal'!$B$37&gt;=1,AA195,X195)</f>
        <v>-12.4474633122004</v>
      </c>
      <c r="M195" s="229" t="str">
        <f>IMDIV(IMSUM('Small Signal'!$B$2*'Small Signal'!$B$16*'Small Signal'!$B$38,IMPRODUCT(H195,'Small Signal'!$B$2*'Small Signal'!$B$16*'Small Signal'!$B$38*'Small Signal'!$B$13*'Small Signal'!$B$14)),IMSUM(IMPRODUCT('Small Signal'!$B$11*'Small Signal'!$B$13*('Small Signal'!$B$14+'Small Signal'!$B$16),IMPOWER(H195,2)),IMSUM(IMPRODUCT(H195,('Small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-0.001223059909697-0.00368265478291048i</v>
      </c>
      <c r="N195" s="229">
        <f t="shared" si="41"/>
        <v>-48.222378469789206</v>
      </c>
      <c r="O195" s="229">
        <f t="shared" si="42"/>
        <v>-108.37203122240447</v>
      </c>
      <c r="P195" s="229" t="str">
        <f>IMDIV(IMSUM('Small Signal'!$B$48,IMPRODUCT(H195,'Small Signal'!$B$49)),IMSUM(IMPRODUCT('Small Signal'!$B$52,IMPOWER(H195,2)),IMSUM(IMPRODUCT(H195,'Small Signal'!$B$51),'Small Signal'!$B$50)))</f>
        <v>-0.00051219685479935-0.00130424710954376i</v>
      </c>
      <c r="Q195" s="229">
        <f t="shared" si="43"/>
        <v>-57.06989855024283</v>
      </c>
      <c r="R195" s="229">
        <f t="shared" si="44"/>
        <v>-111.44065980270408</v>
      </c>
      <c r="S195" s="229" t="str">
        <f>IMPRODUCT(IMDIV(IMSUM(IMPRODUCT(H195,'Small Signal'!$B$33*'Small Signal'!$B$6*'Small Signal'!$B$27*'Small Signal'!$B$7*'Small Signal'!$B$8),'Small Signal'!$B$33*'Small Signal'!$B$6*'Small Signal'!$B$27),IMSUM(IMSUM(IMPRODUCT(H195,('Small Signal'!$B$5+'Small Signal'!$B$6)*('Small Signal'!$B$32*'Small Signal'!$B$33)+'Small Signal'!$B$5*'Small Signal'!$B$33*('Small Signal'!$B$8+'Small Signal'!$B$9)+'Small Signal'!$B$6*'Small Signal'!$B$33*('Small Signal'!$B$8+'Small Signal'!$B$9)+'Small Signal'!$B$7*'Small Signal'!$B$8*('Small Signal'!$B$5+'Small Signal'!$B$6)),'Small Signal'!$B$6+'Small Signal'!$B$5),IMPRODUCT(IMPOWER(H195,2),'Small Signal'!$B$32*'Small Signal'!$B$33*'Small Signal'!$B$8*'Small Signal'!$B$7*('Small Signal'!$B$5+'Small Signal'!$B$6)+('Small Signal'!$B$5+'Small Signal'!$B$6)*('Small Signal'!$B$9*'Small Signal'!$B$8*'Small Signal'!$B$33*'Small Signal'!$B$7)))),-1)</f>
        <v>-0.00553228872914581+0.0533112734648521i</v>
      </c>
      <c r="T195" s="229">
        <f t="shared" si="45"/>
        <v>-25.41710013299642</v>
      </c>
      <c r="U195" s="229">
        <f t="shared" si="46"/>
        <v>95.92456791020408</v>
      </c>
      <c r="V195" s="229" t="str">
        <f t="shared" si="47"/>
        <v>0.000203093336761873-0.0000448293717609235i</v>
      </c>
      <c r="W195" s="226">
        <f t="shared" si="48"/>
        <v>-73.63947860278562</v>
      </c>
      <c r="X195" s="229">
        <f t="shared" si="49"/>
        <v>-12.4474633122004</v>
      </c>
      <c r="Y195" s="229" t="str">
        <f t="shared" si="50"/>
        <v>0.0000723646952095407-0.0000200903950098954i</v>
      </c>
      <c r="Z195" s="226">
        <f t="shared" si="51"/>
        <v>-82.48699868323925</v>
      </c>
      <c r="AA195" s="229">
        <f t="shared" si="52"/>
        <v>-15.516091892500036</v>
      </c>
    </row>
    <row r="196" spans="6:27" ht="12.75">
      <c r="F196" s="78">
        <v>194</v>
      </c>
      <c r="G196" s="229">
        <f>10^('Small Signal'!F196/30)</f>
        <v>2928644.5646252413</v>
      </c>
      <c r="H196" s="229" t="str">
        <f t="shared" si="40"/>
        <v>18401216.4984047i</v>
      </c>
      <c r="I196" s="229">
        <f>IF('Small Signal'!$B$37&gt;=1,Q196+0,N196+0)</f>
        <v>-48.97378690335061</v>
      </c>
      <c r="J196" s="229">
        <f>IF('Small Signal'!$B$37&gt;=1,R196,O196)</f>
        <v>-107.15264531284686</v>
      </c>
      <c r="K196" s="229">
        <f>IF('Small Signal'!$B$37&gt;=1,Z196+0,W196+0)</f>
        <v>-75.05079436296103</v>
      </c>
      <c r="L196" s="229">
        <f>IF('Small Signal'!$B$37&gt;=1,AA196,X196)</f>
        <v>-11.66290350091999</v>
      </c>
      <c r="M196" s="229" t="str">
        <f>IMDIV(IMSUM('Small Signal'!$B$2*'Small Signal'!$B$16*'Small Signal'!$B$38,IMPRODUCT(H196,'Small Signal'!$B$2*'Small Signal'!$B$16*'Small Signal'!$B$38*'Small Signal'!$B$13*'Small Signal'!$B$14)),IMSUM(IMPRODUCT('Small Signal'!$B$11*'Small Signal'!$B$13*('Small Signal'!$B$14+'Small Signal'!$B$16),IMPOWER(H196,2)),IMSUM(IMPRODUCT(H196,('Small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-0.0010495727526295-0.00340056863051732i</v>
      </c>
      <c r="N196" s="229">
        <f t="shared" si="41"/>
        <v>-48.97378690335061</v>
      </c>
      <c r="O196" s="229">
        <f t="shared" si="42"/>
        <v>-107.15264531284686</v>
      </c>
      <c r="P196" s="229" t="str">
        <f>IMDIV(IMSUM('Small Signal'!$B$48,IMPRODUCT(H196,'Small Signal'!$B$49)),IMSUM(IMPRODUCT('Small Signal'!$B$52,IMPOWER(H196,2)),IMSUM(IMPRODUCT(H196,'Small Signal'!$B$51),'Small Signal'!$B$50)))</f>
        <v>-0.000439312730557329-0.00120732249903355i</v>
      </c>
      <c r="Q196" s="229">
        <f t="shared" si="43"/>
        <v>-57.82352030865293</v>
      </c>
      <c r="R196" s="229">
        <f t="shared" si="44"/>
        <v>-109.9951085443711</v>
      </c>
      <c r="S196" s="229" t="str">
        <f>IMPRODUCT(IMDIV(IMSUM(IMPRODUCT(H196,'Small Signal'!$B$33*'Small Signal'!$B$6*'Small Signal'!$B$27*'Small Signal'!$B$7*'Small Signal'!$B$8),'Small Signal'!$B$33*'Small Signal'!$B$6*'Small Signal'!$B$27),IMSUM(IMSUM(IMPRODUCT(H196,('Small Signal'!$B$5+'Small Signal'!$B$6)*('Small Signal'!$B$32*'Small Signal'!$B$33)+'Small Signal'!$B$5*'Small Signal'!$B$33*('Small Signal'!$B$8+'Small Signal'!$B$9)+'Small Signal'!$B$6*'Small Signal'!$B$33*('Small Signal'!$B$8+'Small Signal'!$B$9)+'Small Signal'!$B$7*'Small Signal'!$B$8*('Small Signal'!$B$5+'Small Signal'!$B$6)),'Small Signal'!$B$6+'Small Signal'!$B$5),IMPRODUCT(IMPOWER(H196,2),'Small Signal'!$B$32*'Small Signal'!$B$33*'Small Signal'!$B$8*'Small Signal'!$B$7*('Small Signal'!$B$5+'Small Signal'!$B$6)+('Small Signal'!$B$5+'Small Signal'!$B$6)*('Small Signal'!$B$9*'Small Signal'!$B$8*'Small Signal'!$B$33*'Small Signal'!$B$7)))),-1)</f>
        <v>-0.00475241344533214+0.049448495761877i</v>
      </c>
      <c r="T196" s="229">
        <f t="shared" si="45"/>
        <v>-26.077007459610403</v>
      </c>
      <c r="U196" s="229">
        <f t="shared" si="46"/>
        <v>95.48974181192688</v>
      </c>
      <c r="V196" s="229" t="str">
        <f t="shared" si="47"/>
        <v>0.000173141007175558-0.0000357388857287362i</v>
      </c>
      <c r="W196" s="226">
        <f t="shared" si="48"/>
        <v>-75.05079436296103</v>
      </c>
      <c r="X196" s="229">
        <f t="shared" si="49"/>
        <v>-11.66290350091999</v>
      </c>
      <c r="Y196" s="229" t="str">
        <f t="shared" si="50"/>
        <v>0.0000617880772040855-0.0000159856580178437i</v>
      </c>
      <c r="Z196" s="226">
        <f t="shared" si="51"/>
        <v>-83.90052776826332</v>
      </c>
      <c r="AA196" s="229">
        <f t="shared" si="52"/>
        <v>-14.505366732444264</v>
      </c>
    </row>
    <row r="197" spans="6:27" ht="12.75">
      <c r="F197" s="78">
        <v>195</v>
      </c>
      <c r="G197" s="229">
        <f>10^('Small Signal'!F197/30)</f>
        <v>3162277.660168385</v>
      </c>
      <c r="H197" s="229" t="str">
        <f t="shared" si="40"/>
        <v>19869176.5315922i</v>
      </c>
      <c r="I197" s="229">
        <f>IF('Small Signal'!$B$37&gt;=1,Q197+0,N197+0)</f>
        <v>-49.71454888133934</v>
      </c>
      <c r="J197" s="229">
        <f>IF('Small Signal'!$B$37&gt;=1,R197,O197)</f>
        <v>-105.99749906371906</v>
      </c>
      <c r="K197" s="229">
        <f>IF('Small Signal'!$B$37&gt;=1,Z197+0,W197+0)</f>
        <v>-76.45241715366585</v>
      </c>
      <c r="L197" s="229">
        <f>IF('Small Signal'!$B$37&gt;=1,AA197,X197)</f>
        <v>-10.911047941350459</v>
      </c>
      <c r="M197" s="229" t="str">
        <f>IMDIV(IMSUM('Small Signal'!$B$2*'Small Signal'!$B$16*'Small Signal'!$B$38,IMPRODUCT(H197,'Small Signal'!$B$2*'Small Signal'!$B$16*'Small Signal'!$B$38*'Small Signal'!$B$13*'Small Signal'!$B$14)),IMSUM(IMPRODUCT('Small Signal'!$B$11*'Small Signal'!$B$13*('Small Signal'!$B$14+'Small Signal'!$B$16),IMPOWER(H197,2)),IMSUM(IMPRODUCT(H197,('Small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-0.000900626072772311-0.00314137387959649i</v>
      </c>
      <c r="N197" s="229">
        <f t="shared" si="41"/>
        <v>-49.71454888133934</v>
      </c>
      <c r="O197" s="229">
        <f t="shared" si="42"/>
        <v>-105.99749906371906</v>
      </c>
      <c r="P197" s="229" t="str">
        <f>IMDIV(IMSUM('Small Signal'!$B$48,IMPRODUCT(H197,'Small Signal'!$B$49)),IMSUM(IMPRODUCT('Small Signal'!$B$52,IMPOWER(H197,2)),IMSUM(IMPRODUCT(H197,'Small Signal'!$B$51),'Small Signal'!$B$50)))</f>
        <v>-0.000376799367391829-0.00111767503729693i</v>
      </c>
      <c r="Q197" s="229">
        <f t="shared" si="43"/>
        <v>-58.56618156638585</v>
      </c>
      <c r="R197" s="229">
        <f t="shared" si="44"/>
        <v>-108.6303937015214</v>
      </c>
      <c r="S197" s="229" t="str">
        <f>IMPRODUCT(IMDIV(IMSUM(IMPRODUCT(H197,'Small Signal'!$B$33*'Small Signal'!$B$6*'Small Signal'!$B$27*'Small Signal'!$B$7*'Small Signal'!$B$8),'Small Signal'!$B$33*'Small Signal'!$B$6*'Small Signal'!$B$27),IMSUM(IMSUM(IMPRODUCT(H197,('Small Signal'!$B$5+'Small Signal'!$B$6)*('Small Signal'!$B$32*'Small Signal'!$B$33)+'Small Signal'!$B$5*'Small Signal'!$B$33*('Small Signal'!$B$8+'Small Signal'!$B$9)+'Small Signal'!$B$6*'Small Signal'!$B$33*('Small Signal'!$B$8+'Small Signal'!$B$9)+'Small Signal'!$B$7*'Small Signal'!$B$8*('Small Signal'!$B$5+'Small Signal'!$B$6)),'Small Signal'!$B$6+'Small Signal'!$B$5),IMPRODUCT(IMPOWER(H197,2),'Small Signal'!$B$32*'Small Signal'!$B$33*'Small Signal'!$B$8*'Small Signal'!$B$7*('Small Signal'!$B$5+'Small Signal'!$B$6)+('Small Signal'!$B$5+'Small Signal'!$B$6)*('Small Signal'!$B$9*'Small Signal'!$B$8*'Small Signal'!$B$33*'Small Signal'!$B$7)))),-1)</f>
        <v>-0.00408157921472153+0.0458556637270221i</v>
      </c>
      <c r="T197" s="229">
        <f t="shared" si="45"/>
        <v>-26.737868272326498</v>
      </c>
      <c r="U197" s="229">
        <f t="shared" si="46"/>
        <v>95.08645112236863</v>
      </c>
      <c r="V197" s="229" t="str">
        <f t="shared" si="47"/>
        <v>0.000147725760922491-0.0000284770400042055i</v>
      </c>
      <c r="W197" s="226">
        <f t="shared" si="48"/>
        <v>-76.45241715366585</v>
      </c>
      <c r="X197" s="229">
        <f t="shared" si="49"/>
        <v>-10.911047941350459</v>
      </c>
      <c r="Y197" s="229" t="str">
        <f t="shared" si="50"/>
        <v>0.0000527896671324416-0.0000127165058826301i</v>
      </c>
      <c r="Z197" s="226">
        <f t="shared" si="51"/>
        <v>-85.30404983871234</v>
      </c>
      <c r="AA197" s="229">
        <f t="shared" si="52"/>
        <v>-13.543942579152766</v>
      </c>
    </row>
    <row r="198" spans="6:27" ht="12.75">
      <c r="F198" s="78">
        <v>196</v>
      </c>
      <c r="G198" s="229">
        <f>10^('Small Signal'!F198/30)</f>
        <v>3414548.8738336028</v>
      </c>
      <c r="H198" s="229" t="str">
        <f t="shared" si="40"/>
        <v>21454243.3147179i</v>
      </c>
      <c r="I198" s="229">
        <f>IF('Small Signal'!$B$37&gt;=1,Q198+0,N198+0)</f>
        <v>-50.44584325957242</v>
      </c>
      <c r="J198" s="229">
        <f>IF('Small Signal'!$B$37&gt;=1,R198,O198)</f>
        <v>-104.90642467354289</v>
      </c>
      <c r="K198" s="229">
        <f>IF('Small Signal'!$B$37&gt;=1,Z198+0,W198+0)</f>
        <v>-77.8453923485395</v>
      </c>
      <c r="L198" s="229">
        <f>IF('Small Signal'!$B$37&gt;=1,AA198,X198)</f>
        <v>-10.19393860551501</v>
      </c>
      <c r="M198" s="229" t="str">
        <f>IMDIV(IMSUM('Small Signal'!$B$2*'Small Signal'!$B$16*'Small Signal'!$B$38,IMPRODUCT(H198,'Small Signal'!$B$2*'Small Signal'!$B$16*'Small Signal'!$B$38*'Small Signal'!$B$13*'Small Signal'!$B$14)),IMSUM(IMPRODUCT('Small Signal'!$B$11*'Small Signal'!$B$13*('Small Signal'!$B$14+'Small Signal'!$B$16),IMPOWER(H198,2)),IMSUM(IMPRODUCT(H198,('Small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-0.000772766495704813-0.00290295997415122i</v>
      </c>
      <c r="N198" s="229">
        <f t="shared" si="41"/>
        <v>-50.44584325957242</v>
      </c>
      <c r="O198" s="229">
        <f t="shared" si="42"/>
        <v>-104.90642467354289</v>
      </c>
      <c r="P198" s="229" t="str">
        <f>IMDIV(IMSUM('Small Signal'!$B$48,IMPRODUCT(H198,'Small Signal'!$B$49)),IMSUM(IMPRODUCT('Small Signal'!$B$52,IMPOWER(H198,2)),IMSUM(IMPRODUCT(H198,'Small Signal'!$B$51),'Small Signal'!$B$50)))</f>
        <v>-0.000323181214260416-0.00103474317470604i</v>
      </c>
      <c r="Q198" s="229">
        <f t="shared" si="43"/>
        <v>-59.299105626533645</v>
      </c>
      <c r="R198" s="229">
        <f t="shared" si="44"/>
        <v>-107.34514436798335</v>
      </c>
      <c r="S198" s="229" t="str">
        <f>IMPRODUCT(IMDIV(IMSUM(IMPRODUCT(H198,'Small Signal'!$B$33*'Small Signal'!$B$6*'Small Signal'!$B$27*'Small Signal'!$B$7*'Small Signal'!$B$8),'Small Signal'!$B$33*'Small Signal'!$B$6*'Small Signal'!$B$27),IMSUM(IMSUM(IMPRODUCT(H198,('Small Signal'!$B$5+'Small Signal'!$B$6)*('Small Signal'!$B$32*'Small Signal'!$B$33)+'Small Signal'!$B$5*'Small Signal'!$B$33*('Small Signal'!$B$8+'Small Signal'!$B$9)+'Small Signal'!$B$6*'Small Signal'!$B$33*('Small Signal'!$B$8+'Small Signal'!$B$9)+'Small Signal'!$B$7*'Small Signal'!$B$8*('Small Signal'!$B$5+'Small Signal'!$B$6)),'Small Signal'!$B$6+'Small Signal'!$B$5),IMPRODUCT(IMPOWER(H198,2),'Small Signal'!$B$32*'Small Signal'!$B$33*'Small Signal'!$B$8*'Small Signal'!$B$7*('Small Signal'!$B$5+'Small Signal'!$B$6)+('Small Signal'!$B$5+'Small Signal'!$B$6)*('Small Signal'!$B$9*'Small Signal'!$B$8*'Small Signal'!$B$33*'Small Signal'!$B$7)))),-1)</f>
        <v>-0.00350477570347717+0.0425159540423844i</v>
      </c>
      <c r="T198" s="229">
        <f t="shared" si="45"/>
        <v>-27.39954908896707</v>
      </c>
      <c r="U198" s="229">
        <f t="shared" si="46"/>
        <v>94.7124860680279</v>
      </c>
      <c r="V198" s="229" t="str">
        <f t="shared" si="47"/>
        <v>0.000126130486086502-0.0000226806812313084i</v>
      </c>
      <c r="W198" s="226">
        <f t="shared" si="48"/>
        <v>-77.8453923485395</v>
      </c>
      <c r="X198" s="229">
        <f t="shared" si="49"/>
        <v>-10.19393860551501</v>
      </c>
      <c r="Y198" s="229" t="str">
        <f t="shared" si="50"/>
        <v>0.0000451257709290331-0.0000101138149148093i</v>
      </c>
      <c r="Z198" s="226">
        <f t="shared" si="51"/>
        <v>-86.69865471550071</v>
      </c>
      <c r="AA198" s="229">
        <f t="shared" si="52"/>
        <v>-12.632658299955477</v>
      </c>
    </row>
    <row r="199" spans="6:27" ht="12.75">
      <c r="F199" s="78">
        <v>197</v>
      </c>
      <c r="G199" s="229">
        <f>10^('Small Signal'!F199/30)</f>
        <v>3686945.0645195777</v>
      </c>
      <c r="H199" s="229" t="str">
        <f t="shared" si="40"/>
        <v>23165759.0577677i</v>
      </c>
      <c r="I199" s="229">
        <f>IF('Small Signal'!$B$37&gt;=1,Q199+0,N199+0)</f>
        <v>-51.16875745194566</v>
      </c>
      <c r="J199" s="229">
        <f>IF('Small Signal'!$B$37&gt;=1,R199,O199)</f>
        <v>-103.87853487380812</v>
      </c>
      <c r="K199" s="229">
        <f>IF('Small Signal'!$B$37&gt;=1,Z199+0,W199+0)</f>
        <v>-79.23069229814347</v>
      </c>
      <c r="L199" s="229">
        <f>IF('Small Signal'!$B$37&gt;=1,AA199,X199)</f>
        <v>-9.512759039779642</v>
      </c>
      <c r="M199" s="229" t="str">
        <f>IMDIV(IMSUM('Small Signal'!$B$2*'Small Signal'!$B$16*'Small Signal'!$B$38,IMPRODUCT(H199,'Small Signal'!$B$2*'Small Signal'!$B$16*'Small Signal'!$B$38*'Small Signal'!$B$13*'Small Signal'!$B$14)),IMSUM(IMPRODUCT('Small Signal'!$B$11*'Small Signal'!$B$13*('Small Signal'!$B$14+'Small Signal'!$B$16),IMPOWER(H199,2)),IMSUM(IMPRODUCT(H199,('Small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-0.000663021863151059-0.00268345775950926i</v>
      </c>
      <c r="N199" s="229">
        <f t="shared" si="41"/>
        <v>-51.16875745194566</v>
      </c>
      <c r="O199" s="229">
        <f t="shared" si="42"/>
        <v>-103.87853487380812</v>
      </c>
      <c r="P199" s="229" t="str">
        <f>IMDIV(IMSUM('Small Signal'!$B$48,IMPRODUCT(H199,'Small Signal'!$B$49)),IMSUM(IMPRODUCT('Small Signal'!$B$52,IMPOWER(H199,2)),IMSUM(IMPRODUCT(H199,'Small Signal'!$B$51),'Small Signal'!$B$50)))</f>
        <v>-0.000277192630790634-0.000958011765599764i</v>
      </c>
      <c r="Q199" s="229">
        <f t="shared" si="43"/>
        <v>-60.02341808915668</v>
      </c>
      <c r="R199" s="229">
        <f t="shared" si="44"/>
        <v>-106.13735433496889</v>
      </c>
      <c r="S199" s="229" t="str">
        <f>IMPRODUCT(IMDIV(IMSUM(IMPRODUCT(H199,'Small Signal'!$B$33*'Small Signal'!$B$6*'Small Signal'!$B$27*'Small Signal'!$B$7*'Small Signal'!$B$8),'Small Signal'!$B$33*'Small Signal'!$B$6*'Small Signal'!$B$27),IMSUM(IMSUM(IMPRODUCT(H199,('Small Signal'!$B$5+'Small Signal'!$B$6)*('Small Signal'!$B$32*'Small Signal'!$B$33)+'Small Signal'!$B$5*'Small Signal'!$B$33*('Small Signal'!$B$8+'Small Signal'!$B$9)+'Small Signal'!$B$6*'Small Signal'!$B$33*('Small Signal'!$B$8+'Small Signal'!$B$9)+'Small Signal'!$B$7*'Small Signal'!$B$8*('Small Signal'!$B$5+'Small Signal'!$B$6)),'Small Signal'!$B$6+'Small Signal'!$B$5),IMPRODUCT(IMPOWER(H199,2),'Small Signal'!$B$32*'Small Signal'!$B$33*'Small Signal'!$B$8*'Small Signal'!$B$7*('Small Signal'!$B$5+'Small Signal'!$B$6)+('Small Signal'!$B$5+'Small Signal'!$B$6)*('Small Signal'!$B$9*'Small Signal'!$B$8*'Small Signal'!$B$33*'Small Signal'!$B$7)))),-1)</f>
        <v>-0.00300899678456921+0.0394131618965864i</v>
      </c>
      <c r="T199" s="229">
        <f t="shared" si="45"/>
        <v>-28.061934846197794</v>
      </c>
      <c r="U199" s="229">
        <f t="shared" si="46"/>
        <v>94.3657758340285</v>
      </c>
      <c r="V199" s="229" t="str">
        <f t="shared" si="47"/>
        <v>0.00010775858577251-0.0000180572722634584i</v>
      </c>
      <c r="W199" s="226">
        <f t="shared" si="48"/>
        <v>-79.23069229814347</v>
      </c>
      <c r="X199" s="229">
        <f t="shared" si="49"/>
        <v>-9.512759039779642</v>
      </c>
      <c r="Y199" s="229" t="str">
        <f t="shared" si="50"/>
        <v>0.0000385923445511734-0.0000080423837116228i</v>
      </c>
      <c r="Z199" s="226">
        <f t="shared" si="51"/>
        <v>-88.08535293535448</v>
      </c>
      <c r="AA199" s="229">
        <f t="shared" si="52"/>
        <v>-11.771578500940386</v>
      </c>
    </row>
    <row r="200" spans="6:27" ht="12.75">
      <c r="F200" s="78">
        <v>198</v>
      </c>
      <c r="G200" s="229">
        <f>10^('Small Signal'!F200/30)</f>
        <v>3981071.705534976</v>
      </c>
      <c r="H200" s="229" t="str">
        <f t="shared" si="40"/>
        <v>25013811.2470457i</v>
      </c>
      <c r="I200" s="229">
        <f>IF('Small Signal'!$B$37&gt;=1,Q200+0,N200+0)</f>
        <v>-51.884284396013165</v>
      </c>
      <c r="J200" s="229">
        <f>IF('Small Signal'!$B$37&gt;=1,R200,O200)</f>
        <v>-102.9123694181106</v>
      </c>
      <c r="K200" s="229">
        <f>IF('Small Signal'!$B$37&gt;=1,Z200+0,W200+0)</f>
        <v>-80.60921082455467</v>
      </c>
      <c r="L200" s="229">
        <f>IF('Small Signal'!$B$37&gt;=1,AA200,X200)</f>
        <v>-8.867986248114443</v>
      </c>
      <c r="M200" s="229" t="str">
        <f>IMDIV(IMSUM('Small Signal'!$B$2*'Small Signal'!$B$16*'Small Signal'!$B$38,IMPRODUCT(H200,'Small Signal'!$B$2*'Small Signal'!$B$16*'Small Signal'!$B$38*'Small Signal'!$B$13*'Small Signal'!$B$14)),IMSUM(IMPRODUCT('Small Signal'!$B$11*'Small Signal'!$B$13*('Small Signal'!$B$14+'Small Signal'!$B$16),IMPOWER(H200,2)),IMSUM(IMPRODUCT(H200,('Small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-0.000568835434237204-0.00248120431241167i</v>
      </c>
      <c r="N200" s="229">
        <f t="shared" si="41"/>
        <v>-51.884284396013165</v>
      </c>
      <c r="O200" s="229">
        <f t="shared" si="42"/>
        <v>-102.9123694181106</v>
      </c>
      <c r="P200" s="229" t="str">
        <f>IMDIV(IMSUM('Small Signal'!$B$48,IMPRODUCT(H200,'Small Signal'!$B$49)),IMSUM(IMPRODUCT('Small Signal'!$B$52,IMPOWER(H200,2)),IMSUM(IMPRODUCT(H200,'Small Signal'!$B$51),'Small Signal'!$B$50)))</f>
        <v>-0.000237748033654898-0.000887007628996188i</v>
      </c>
      <c r="Q200" s="229">
        <f t="shared" si="43"/>
        <v>-60.74014469102917</v>
      </c>
      <c r="R200" s="229">
        <f t="shared" si="44"/>
        <v>-105.00452332525985</v>
      </c>
      <c r="S200" s="229" t="str">
        <f>IMPRODUCT(IMDIV(IMSUM(IMPRODUCT(H200,'Small Signal'!$B$33*'Small Signal'!$B$6*'Small Signal'!$B$27*'Small Signal'!$B$7*'Small Signal'!$B$8),'Small Signal'!$B$33*'Small Signal'!$B$6*'Small Signal'!$B$27),IMSUM(IMSUM(IMPRODUCT(H200,('Small Signal'!$B$5+'Small Signal'!$B$6)*('Small Signal'!$B$32*'Small Signal'!$B$33)+'Small Signal'!$B$5*'Small Signal'!$B$33*('Small Signal'!$B$8+'Small Signal'!$B$9)+'Small Signal'!$B$6*'Small Signal'!$B$33*('Small Signal'!$B$8+'Small Signal'!$B$9)+'Small Signal'!$B$7*'Small Signal'!$B$8*('Small Signal'!$B$5+'Small Signal'!$B$6)),'Small Signal'!$B$6+'Small Signal'!$B$5),IMPRODUCT(IMPOWER(H200,2),'Small Signal'!$B$32*'Small Signal'!$B$33*'Small Signal'!$B$8*'Small Signal'!$B$7*('Small Signal'!$B$5+'Small Signal'!$B$6)+('Small Signal'!$B$5+'Small Signal'!$B$6)*('Small Signal'!$B$9*'Small Signal'!$B$8*'Small Signal'!$B$33*'Small Signal'!$B$7)))),-1)</f>
        <v>-0.00258298940854436+0.03653177825111i</v>
      </c>
      <c r="T200" s="229">
        <f t="shared" si="45"/>
        <v>-28.724926428541508</v>
      </c>
      <c r="U200" s="229">
        <f t="shared" si="46"/>
        <v>94.0443831699962</v>
      </c>
      <c r="V200" s="229" t="str">
        <f t="shared" si="47"/>
        <v>0.0000921121016385604-0.0000143716454855335i</v>
      </c>
      <c r="W200" s="226">
        <f t="shared" si="48"/>
        <v>-80.60921082455467</v>
      </c>
      <c r="X200" s="229">
        <f t="shared" si="49"/>
        <v>-8.867986248114443</v>
      </c>
      <c r="Y200" s="229" t="str">
        <f t="shared" si="50"/>
        <v>0.0000330180666623644-6.39422713412297E-06i</v>
      </c>
      <c r="Z200" s="226">
        <f t="shared" si="51"/>
        <v>-89.46507111957068</v>
      </c>
      <c r="AA200" s="229">
        <f t="shared" si="52"/>
        <v>-10.960140155263671</v>
      </c>
    </row>
    <row r="201" spans="6:27" ht="12.75">
      <c r="F201" s="78">
        <v>199</v>
      </c>
      <c r="G201" s="229">
        <f>10^('Small Signal'!F201/30)</f>
        <v>4298662.34708229</v>
      </c>
      <c r="H201" s="229" t="str">
        <f t="shared" si="40"/>
        <v>27009292.0997136i</v>
      </c>
      <c r="I201" s="229">
        <f>IF('Small Signal'!$B$37&gt;=1,Q201+0,N201+0)</f>
        <v>-52.593322881233384</v>
      </c>
      <c r="J201" s="229">
        <f>IF('Small Signal'!$B$37&gt;=1,R201,O201)</f>
        <v>-102.00602620302772</v>
      </c>
      <c r="K201" s="229">
        <f>IF('Small Signal'!$B$37&gt;=1,Z201+0,W201+0)</f>
        <v>-81.98176139139642</v>
      </c>
      <c r="L201" s="229">
        <f>IF('Small Signal'!$B$37&gt;=1,AA201,X201)</f>
        <v>-8.25952777107125</v>
      </c>
      <c r="M201" s="229" t="str">
        <f>IMDIV(IMSUM('Small Signal'!$B$2*'Small Signal'!$B$16*'Small Signal'!$B$38,IMPRODUCT(H201,'Small Signal'!$B$2*'Small Signal'!$B$16*'Small Signal'!$B$38*'Small Signal'!$B$13*'Small Signal'!$B$14)),IMSUM(IMPRODUCT('Small Signal'!$B$11*'Small Signal'!$B$13*('Small Signal'!$B$14+'Small Signal'!$B$16),IMPOWER(H201,2)),IMSUM(IMPRODUCT(H201,('Small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-0.000488008748844521-0.00229471385750864i</v>
      </c>
      <c r="N201" s="229">
        <f t="shared" si="41"/>
        <v>-52.593322881233384</v>
      </c>
      <c r="O201" s="229">
        <f t="shared" si="42"/>
        <v>-102.00602620302772</v>
      </c>
      <c r="P201" s="229" t="str">
        <f>IMDIV(IMSUM('Small Signal'!$B$48,IMPRODUCT(H201,'Small Signal'!$B$49)),IMSUM(IMPRODUCT('Small Signal'!$B$52,IMPOWER(H201,2)),IMSUM(IMPRODUCT(H201,'Small Signal'!$B$51),'Small Signal'!$B$50)))</f>
        <v>-0.000203916286606602-0.000821295645144775i</v>
      </c>
      <c r="Q201" s="229">
        <f t="shared" si="43"/>
        <v>-61.45021238806918</v>
      </c>
      <c r="R201" s="229">
        <f t="shared" si="44"/>
        <v>-103.94378305182485</v>
      </c>
      <c r="S201" s="229" t="str">
        <f>IMPRODUCT(IMDIV(IMSUM(IMPRODUCT(H201,'Small Signal'!$B$33*'Small Signal'!$B$6*'Small Signal'!$B$27*'Small Signal'!$B$7*'Small Signal'!$B$8),'Small Signal'!$B$33*'Small Signal'!$B$6*'Small Signal'!$B$27),IMSUM(IMSUM(IMPRODUCT(H201,('Small Signal'!$B$5+'Small Signal'!$B$6)*('Small Signal'!$B$32*'Small Signal'!$B$33)+'Small Signal'!$B$5*'Small Signal'!$B$33*('Small Signal'!$B$8+'Small Signal'!$B$9)+'Small Signal'!$B$6*'Small Signal'!$B$33*('Small Signal'!$B$8+'Small Signal'!$B$9)+'Small Signal'!$B$7*'Small Signal'!$B$8*('Small Signal'!$B$5+'Small Signal'!$B$6)),'Small Signal'!$B$6+'Small Signal'!$B$5),IMPRODUCT(IMPOWER(H201,2),'Small Signal'!$B$32*'Small Signal'!$B$33*'Small Signal'!$B$8*'Small Signal'!$B$7*('Small Signal'!$B$5+'Small Signal'!$B$6)+('Small Signal'!$B$5+'Small Signal'!$B$6)*('Small Signal'!$B$9*'Small Signal'!$B$8*'Small Signal'!$B$33*'Small Signal'!$B$7)))),-1)</f>
        <v>-0.00221702948320727+0.0338570378157236i</v>
      </c>
      <c r="T201" s="229">
        <f t="shared" si="45"/>
        <v>-29.388438510163045</v>
      </c>
      <c r="U201" s="229">
        <f t="shared" si="46"/>
        <v>93.7464984319565</v>
      </c>
      <c r="V201" s="229" t="str">
        <f t="shared" si="47"/>
        <v>0.0000787741436341864-0.000011435082386412i</v>
      </c>
      <c r="W201" s="226">
        <f t="shared" si="48"/>
        <v>-81.98176139139642</v>
      </c>
      <c r="X201" s="229">
        <f t="shared" si="49"/>
        <v>-8.25952777107125</v>
      </c>
      <c r="Y201" s="229" t="str">
        <f t="shared" si="50"/>
        <v>0.0000282587261350687-5.08316476716595E-06i</v>
      </c>
      <c r="Z201" s="226">
        <f t="shared" si="51"/>
        <v>-90.83865089823223</v>
      </c>
      <c r="AA201" s="229">
        <f t="shared" si="52"/>
        <v>-10.197284619868366</v>
      </c>
    </row>
    <row r="202" spans="6:27" ht="12.75">
      <c r="F202" s="78">
        <v>200</v>
      </c>
      <c r="G202" s="229">
        <f>10^('Small Signal'!F202/30)</f>
        <v>4641588.833612786</v>
      </c>
      <c r="H202" s="229" t="str">
        <f t="shared" si="40"/>
        <v>29163962.7613247i</v>
      </c>
      <c r="I202" s="229">
        <f>IF('Small Signal'!$B$37&gt;=1,Q202+0,N202+0)</f>
        <v>-53.296680383582</v>
      </c>
      <c r="J202" s="229">
        <f>IF('Small Signal'!$B$37&gt;=1,R202,O202)</f>
        <v>-101.15727570775881</v>
      </c>
      <c r="K202" s="229">
        <f>IF('Small Signal'!$B$37&gt;=1,Z202+0,W202+0)</f>
        <v>-83.34907805847357</v>
      </c>
      <c r="L202" s="229">
        <f>IF('Small Signal'!$B$37&gt;=1,AA202,X202)</f>
        <v>-7.6868424202687935</v>
      </c>
      <c r="M202" s="229" t="str">
        <f>IMDIV(IMSUM('Small Signal'!$B$2*'Small Signal'!$B$16*'Small Signal'!$B$38,IMPRODUCT(H202,'Small Signal'!$B$2*'Small Signal'!$B$16*'Small Signal'!$B$38*'Small Signal'!$B$13*'Small Signal'!$B$14)),IMSUM(IMPRODUCT('Small Signal'!$B$11*'Small Signal'!$B$13*('Small Signal'!$B$14+'Small Signal'!$B$16),IMPOWER(H202,2)),IMSUM(IMPRODUCT(H202,('Small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-0.00041865210315997-0.00212265362763213i</v>
      </c>
      <c r="N202" s="229">
        <f t="shared" si="41"/>
        <v>-53.296680383582</v>
      </c>
      <c r="O202" s="229">
        <f t="shared" si="42"/>
        <v>-101.15727570775881</v>
      </c>
      <c r="P202" s="229" t="str">
        <f>IMDIV(IMSUM('Small Signal'!$B$48,IMPRODUCT(H202,'Small Signal'!$B$49)),IMSUM(IMPRODUCT('Small Signal'!$B$52,IMPOWER(H202,2)),IMSUM(IMPRODUCT(H202,'Small Signal'!$B$51),'Small Signal'!$B$50)))</f>
        <v>-0.00017489873151134-0.000760475305596345i</v>
      </c>
      <c r="Q202" s="229">
        <f t="shared" si="43"/>
        <v>-62.15445284007121</v>
      </c>
      <c r="R202" s="229">
        <f t="shared" si="44"/>
        <v>-102.95200681306487</v>
      </c>
      <c r="S202" s="229" t="str">
        <f>IMPRODUCT(IMDIV(IMSUM(IMPRODUCT(H202,'Small Signal'!$B$33*'Small Signal'!$B$6*'Small Signal'!$B$27*'Small Signal'!$B$7*'Small Signal'!$B$8),'Small Signal'!$B$33*'Small Signal'!$B$6*'Small Signal'!$B$27),IMSUM(IMSUM(IMPRODUCT(H202,('Small Signal'!$B$5+'Small Signal'!$B$6)*('Small Signal'!$B$32*'Small Signal'!$B$33)+'Small Signal'!$B$5*'Small Signal'!$B$33*('Small Signal'!$B$8+'Small Signal'!$B$9)+'Small Signal'!$B$6*'Small Signal'!$B$33*('Small Signal'!$B$8+'Small Signal'!$B$9)+'Small Signal'!$B$7*'Small Signal'!$B$8*('Small Signal'!$B$5+'Small Signal'!$B$6)),'Small Signal'!$B$6+'Small Signal'!$B$5),IMPRODUCT(IMPOWER(H202,2),'Small Signal'!$B$32*'Small Signal'!$B$33*'Small Signal'!$B$8*'Small Signal'!$B$7*('Small Signal'!$B$5+'Small Signal'!$B$6)+('Small Signal'!$B$5+'Small Signal'!$B$6)*('Small Signal'!$B$9*'Small Signal'!$B$8*'Small Signal'!$B$33*'Small Signal'!$B$7)))),-1)</f>
        <v>-0.00190272312407476+0.0313749442169342i</v>
      </c>
      <c r="T202" s="229">
        <f t="shared" si="45"/>
        <v>-30.052397674891562</v>
      </c>
      <c r="U202" s="229">
        <f t="shared" si="46"/>
        <v>93.47043328749002</v>
      </c>
      <c r="V202" s="229" t="str">
        <f t="shared" si="47"/>
        <v>0.0000673947181964561-9.09636424124941E-06i</v>
      </c>
      <c r="W202" s="226">
        <f t="shared" si="48"/>
        <v>-83.34907805847357</v>
      </c>
      <c r="X202" s="229">
        <f t="shared" si="49"/>
        <v>-7.6868424202687935</v>
      </c>
      <c r="Y202" s="229" t="str">
        <f t="shared" si="50"/>
        <v>0.0000241926541522593-4.04046399553486E-06i</v>
      </c>
      <c r="Z202" s="226">
        <f t="shared" si="51"/>
        <v>-92.20685051496277</v>
      </c>
      <c r="AA202" s="229">
        <f t="shared" si="52"/>
        <v>-9.481573525574843</v>
      </c>
    </row>
    <row r="203" spans="6:27" ht="12.75">
      <c r="F203" s="78">
        <v>201</v>
      </c>
      <c r="G203" s="229">
        <f>10^('Small Signal'!F203/30)</f>
        <v>5011872.336272731</v>
      </c>
      <c r="H203" s="229" t="str">
        <f t="shared" si="40"/>
        <v>31490522.6247287i</v>
      </c>
      <c r="I203" s="229">
        <f>IF('Small Signal'!$B$37&gt;=1,Q203+0,N203+0)</f>
        <v>-53.9950776602663</v>
      </c>
      <c r="J203" s="229">
        <f>IF('Small Signal'!$B$37&gt;=1,R203,O203)</f>
        <v>-100.36365867360355</v>
      </c>
      <c r="K203" s="229">
        <f>IF('Small Signal'!$B$37&gt;=1,Z203+0,W203+0)</f>
        <v>-84.71181844259966</v>
      </c>
      <c r="L203" s="229">
        <f>IF('Small Signal'!$B$37&gt;=1,AA203,X203)</f>
        <v>-7.1490444133222955</v>
      </c>
      <c r="M203" s="229" t="str">
        <f>IMDIV(IMSUM('Small Signal'!$B$2*'Small Signal'!$B$16*'Small Signal'!$B$38,IMPRODUCT(H203,'Small Signal'!$B$2*'Small Signal'!$B$16*'Small Signal'!$B$38*'Small Signal'!$B$13*'Small Signal'!$B$14)),IMSUM(IMPRODUCT('Small Signal'!$B$11*'Small Signal'!$B$13*('Small Signal'!$B$14+'Small Signal'!$B$16),IMPOWER(H203,2)),IMSUM(IMPRODUCT(H203,('Small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-0.000359141689589814-0.00196382374445593i</v>
      </c>
      <c r="N203" s="229">
        <f t="shared" si="41"/>
        <v>-53.9950776602663</v>
      </c>
      <c r="O203" s="229">
        <f t="shared" si="42"/>
        <v>-100.36365867360355</v>
      </c>
      <c r="P203" s="229" t="str">
        <f>IMDIV(IMSUM('Small Signal'!$B$48,IMPRODUCT(H203,'Small Signal'!$B$49)),IMSUM(IMPRODUCT('Small Signal'!$B$52,IMPOWER(H203,2)),IMSUM(IMPRODUCT(H203,'Small Signal'!$B$51),'Small Signal'!$B$50)))</f>
        <v>-0.000150010343145446-0.000704177649334548i</v>
      </c>
      <c r="Q203" s="229">
        <f t="shared" si="43"/>
        <v>-62.85360756542923</v>
      </c>
      <c r="R203" s="229">
        <f t="shared" si="44"/>
        <v>-102.02590256122471</v>
      </c>
      <c r="S203" s="229" t="str">
        <f>IMPRODUCT(IMDIV(IMSUM(IMPRODUCT(H203,'Small Signal'!$B$33*'Small Signal'!$B$6*'Small Signal'!$B$27*'Small Signal'!$B$7*'Small Signal'!$B$8),'Small Signal'!$B$33*'Small Signal'!$B$6*'Small Signal'!$B$27),IMSUM(IMSUM(IMPRODUCT(H203,('Small Signal'!$B$5+'Small Signal'!$B$6)*('Small Signal'!$B$32*'Small Signal'!$B$33)+'Small Signal'!$B$5*'Small Signal'!$B$33*('Small Signal'!$B$8+'Small Signal'!$B$9)+'Small Signal'!$B$6*'Small Signal'!$B$33*('Small Signal'!$B$8+'Small Signal'!$B$9)+'Small Signal'!$B$7*'Small Signal'!$B$8*('Small Signal'!$B$5+'Small Signal'!$B$6)),'Small Signal'!$B$6+'Small Signal'!$B$5),IMPRODUCT(IMPOWER(H203,2),'Small Signal'!$B$32*'Small Signal'!$B$33*'Small Signal'!$B$8*'Small Signal'!$B$7*('Small Signal'!$B$5+'Small Signal'!$B$6)+('Small Signal'!$B$5+'Small Signal'!$B$6)*('Small Signal'!$B$9*'Small Signal'!$B$8*'Small Signal'!$B$33*'Small Signal'!$B$7)))),-1)</f>
        <v>-0.00163283132440718+0.0290722776392264i</v>
      </c>
      <c r="T203" s="229">
        <f t="shared" si="45"/>
        <v>-30.71674078233338</v>
      </c>
      <c r="U203" s="229">
        <f t="shared" si="46"/>
        <v>93.21461426028124</v>
      </c>
      <c r="V203" s="229" t="str">
        <f t="shared" si="47"/>
        <v>0.0000576792469339908-0.0000072344739860137i</v>
      </c>
      <c r="W203" s="226">
        <f t="shared" si="48"/>
        <v>-84.71181844259966</v>
      </c>
      <c r="X203" s="229">
        <f t="shared" si="49"/>
        <v>-7.1490444133222955</v>
      </c>
      <c r="Y203" s="229" t="str">
        <f t="shared" si="50"/>
        <v>0.0000207169897160647-3.21133902089916E-06i</v>
      </c>
      <c r="Z203" s="226">
        <f t="shared" si="51"/>
        <v>-93.57034834776263</v>
      </c>
      <c r="AA203" s="229">
        <f t="shared" si="52"/>
        <v>-8.811288300943465</v>
      </c>
    </row>
    <row r="204" spans="6:27" ht="12.75">
      <c r="F204" s="78">
        <v>202</v>
      </c>
      <c r="G204" s="229">
        <f>10^('Small Signal'!F204/30)</f>
        <v>5411695.265464648</v>
      </c>
      <c r="H204" s="229" t="str">
        <f t="shared" si="40"/>
        <v>34002684.1789008i</v>
      </c>
      <c r="I204" s="229">
        <f>IF('Small Signal'!$B$37&gt;=1,Q204+0,N204+0)</f>
        <v>-54.689154483455894</v>
      </c>
      <c r="J204" s="229">
        <f>IF('Small Signal'!$B$37&gt;=1,R204,O204)</f>
        <v>-99.62256779695191</v>
      </c>
      <c r="K204" s="229">
        <f>IF('Small Signal'!$B$37&gt;=1,Z204+0,W204+0)</f>
        <v>-86.07056803405669</v>
      </c>
      <c r="L204" s="229">
        <f>IF('Small Signal'!$B$37&gt;=1,AA204,X204)</f>
        <v>-6.644991548210643</v>
      </c>
      <c r="M204" s="229" t="str">
        <f>IMDIV(IMSUM('Small Signal'!$B$2*'Small Signal'!$B$16*'Small Signal'!$B$38,IMPRODUCT(H204,'Small Signal'!$B$2*'Small Signal'!$B$16*'Small Signal'!$B$38*'Small Signal'!$B$13*'Small Signal'!$B$14)),IMSUM(IMPRODUCT('Small Signal'!$B$11*'Small Signal'!$B$13*('Small Signal'!$B$14+'Small Signal'!$B$16),IMPOWER(H204,2)),IMSUM(IMPRODUCT(H204,('Small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-0.000308082552901269-0.00181714037388756i</v>
      </c>
      <c r="N204" s="229">
        <f t="shared" si="41"/>
        <v>-54.689154483455894</v>
      </c>
      <c r="O204" s="229">
        <f t="shared" si="42"/>
        <v>-99.62256779695191</v>
      </c>
      <c r="P204" s="229" t="str">
        <f>IMDIV(IMSUM('Small Signal'!$B$48,IMPRODUCT(H204,'Small Signal'!$B$49)),IMSUM(IMPRODUCT('Small Signal'!$B$52,IMPOWER(H204,2)),IMSUM(IMPRODUCT(H204,'Small Signal'!$B$51),'Small Signal'!$B$50)))</f>
        <v>-0.000128663563899661-0.000652062529474912i</v>
      </c>
      <c r="Q204" s="229">
        <f t="shared" si="43"/>
        <v>-63.54833415695953</v>
      </c>
      <c r="R204" s="229">
        <f t="shared" si="44"/>
        <v>-101.16209022565211</v>
      </c>
      <c r="S204" s="229" t="str">
        <f>IMPRODUCT(IMDIV(IMSUM(IMPRODUCT(H204,'Small Signal'!$B$33*'Small Signal'!$B$6*'Small Signal'!$B$27*'Small Signal'!$B$7*'Small Signal'!$B$8),'Small Signal'!$B$33*'Small Signal'!$B$6*'Small Signal'!$B$27),IMSUM(IMSUM(IMPRODUCT(H204,('Small Signal'!$B$5+'Small Signal'!$B$6)*('Small Signal'!$B$32*'Small Signal'!$B$33)+'Small Signal'!$B$5*'Small Signal'!$B$33*('Small Signal'!$B$8+'Small Signal'!$B$9)+'Small Signal'!$B$6*'Small Signal'!$B$33*('Small Signal'!$B$8+'Small Signal'!$B$9)+'Small Signal'!$B$7*'Small Signal'!$B$8*('Small Signal'!$B$5+'Small Signal'!$B$6)),'Small Signal'!$B$6+'Small Signal'!$B$5),IMPRODUCT(IMPOWER(H204,2),'Small Signal'!$B$32*'Small Signal'!$B$33*'Small Signal'!$B$8*'Small Signal'!$B$7*('Small Signal'!$B$5+'Small Signal'!$B$6)+('Small Signal'!$B$5+'Small Signal'!$B$6)*('Small Signal'!$B$9*'Small Signal'!$B$8*'Small Signal'!$B$33*'Small Signal'!$B$7)))),-1)</f>
        <v>-0.00140111595626466+0.0269365892030517i</v>
      </c>
      <c r="T204" s="229">
        <f t="shared" si="45"/>
        <v>-31.381413550600797</v>
      </c>
      <c r="U204" s="229">
        <f t="shared" si="46"/>
        <v>92.97757624874129</v>
      </c>
      <c r="V204" s="229" t="str">
        <f t="shared" si="47"/>
        <v>0.0000493792231564057-5.75266879550234E-06i</v>
      </c>
      <c r="W204" s="226">
        <f t="shared" si="48"/>
        <v>-86.07056803405669</v>
      </c>
      <c r="X204" s="229">
        <f t="shared" si="49"/>
        <v>-6.644991548210643</v>
      </c>
      <c r="Y204" s="229" t="str">
        <f t="shared" si="50"/>
        <v>0.0000177446130635382-2.55214235163617E-06i</v>
      </c>
      <c r="Z204" s="226">
        <f t="shared" si="51"/>
        <v>-94.92974770756032</v>
      </c>
      <c r="AA204" s="229">
        <f t="shared" si="52"/>
        <v>-8.184513976910837</v>
      </c>
    </row>
    <row r="205" spans="6:27" ht="12.75">
      <c r="F205" s="78">
        <v>203</v>
      </c>
      <c r="G205" s="229">
        <f>10^('Small Signal'!F205/30)</f>
        <v>5843414.133735179</v>
      </c>
      <c r="H205" s="229" t="str">
        <f t="shared" si="40"/>
        <v>36715253.8288504i</v>
      </c>
      <c r="I205" s="229">
        <f>IF('Small Signal'!$B$37&gt;=1,Q205+0,N205+0)</f>
        <v>-55.379476016813776</v>
      </c>
      <c r="J205" s="229">
        <f>IF('Small Signal'!$B$37&gt;=1,R205,O205)</f>
        <v>-98.9313147428853</v>
      </c>
      <c r="K205" s="229">
        <f>IF('Small Signal'!$B$37&gt;=1,Z205+0,W205+0)</f>
        <v>-87.42584534577149</v>
      </c>
      <c r="L205" s="229">
        <f>IF('Small Signal'!$B$37&gt;=1,AA205,X205)</f>
        <v>-6.173358622873322</v>
      </c>
      <c r="M205" s="229" t="str">
        <f>IMDIV(IMSUM('Small Signal'!$B$2*'Small Signal'!$B$16*'Small Signal'!$B$38,IMPRODUCT(H205,'Small Signal'!$B$2*'Small Signal'!$B$16*'Small Signal'!$B$38*'Small Signal'!$B$13*'Small Signal'!$B$14)),IMSUM(IMPRODUCT('Small Signal'!$B$11*'Small Signal'!$B$13*('Small Signal'!$B$14+'Small Signal'!$B$16),IMPOWER(H205,2)),IMSUM(IMPRODUCT(H205,('Small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-0.000264276609043287-0.00168162155427604i</v>
      </c>
      <c r="N205" s="229">
        <f t="shared" si="41"/>
        <v>-55.379476016813776</v>
      </c>
      <c r="O205" s="229">
        <f t="shared" si="42"/>
        <v>-98.9313147428853</v>
      </c>
      <c r="P205" s="229" t="str">
        <f>IMDIV(IMSUM('Small Signal'!$B$48,IMPRODUCT(H205,'Small Signal'!$B$49)),IMSUM(IMPRODUCT('Small Signal'!$B$52,IMPOWER(H205,2)),IMSUM(IMPRODUCT(H205,'Small Signal'!$B$51),'Small Signal'!$B$50)))</f>
        <v>-0.000110354437513909-0.000603816164682259i</v>
      </c>
      <c r="Q205" s="229">
        <f t="shared" si="43"/>
        <v>-64.23921307322556</v>
      </c>
      <c r="R205" s="229">
        <f t="shared" si="44"/>
        <v>-100.35716460034187</v>
      </c>
      <c r="S205" s="229" t="str">
        <f>IMPRODUCT(IMDIV(IMSUM(IMPRODUCT(H205,'Small Signal'!$B$33*'Small Signal'!$B$6*'Small Signal'!$B$27*'Small Signal'!$B$7*'Small Signal'!$B$8),'Small Signal'!$B$33*'Small Signal'!$B$6*'Small Signal'!$B$27),IMSUM(IMSUM(IMPRODUCT(H205,('Small Signal'!$B$5+'Small Signal'!$B$6)*('Small Signal'!$B$32*'Small Signal'!$B$33)+'Small Signal'!$B$5*'Small Signal'!$B$33*('Small Signal'!$B$8+'Small Signal'!$B$9)+'Small Signal'!$B$6*'Small Signal'!$B$33*('Small Signal'!$B$8+'Small Signal'!$B$9)+'Small Signal'!$B$7*'Small Signal'!$B$8*('Small Signal'!$B$5+'Small Signal'!$B$6)),'Small Signal'!$B$6+'Small Signal'!$B$5),IMPRODUCT(IMPOWER(H205,2),'Small Signal'!$B$32*'Small Signal'!$B$33*'Small Signal'!$B$8*'Small Signal'!$B$7*('Small Signal'!$B$5+'Small Signal'!$B$6)+('Small Signal'!$B$5+'Small Signal'!$B$6)*('Small Signal'!$B$9*'Small Signal'!$B$8*'Small Signal'!$B$33*'Small Signal'!$B$7)))),-1)</f>
        <v>-0.00120220499742455+0.0249561854966197i</v>
      </c>
      <c r="T205" s="229">
        <f t="shared" si="45"/>
        <v>-32.04636932895771</v>
      </c>
      <c r="U205" s="229">
        <f t="shared" si="46"/>
        <v>92.757956120012</v>
      </c>
      <c r="V205" s="229" t="str">
        <f t="shared" si="47"/>
        <v>0.000042284574103721-4.57368224137442E-06i</v>
      </c>
      <c r="W205" s="226">
        <f t="shared" si="48"/>
        <v>-87.42584534577149</v>
      </c>
      <c r="X205" s="229">
        <f t="shared" si="49"/>
        <v>-6.173358622873322</v>
      </c>
      <c r="Y205" s="229" t="str">
        <f t="shared" si="50"/>
        <v>0.0000152016168679351-0.0000020281150022655i</v>
      </c>
      <c r="Z205" s="226">
        <f t="shared" si="51"/>
        <v>-96.28558240218327</v>
      </c>
      <c r="AA205" s="229">
        <f t="shared" si="52"/>
        <v>-7.599208480329874</v>
      </c>
    </row>
    <row r="206" spans="6:27" ht="12.75">
      <c r="F206" s="78">
        <v>204</v>
      </c>
      <c r="G206" s="229">
        <f>10^('Small Signal'!F206/30)</f>
        <v>6309573.444801938</v>
      </c>
      <c r="H206" s="229" t="str">
        <f t="shared" si="40"/>
        <v>39644219.16295i</v>
      </c>
      <c r="I206" s="229">
        <f>IF('Small Signal'!$B$37&gt;=1,Q206+0,N206+0)</f>
        <v>-56.06653945353525</v>
      </c>
      <c r="J206" s="229">
        <f>IF('Small Signal'!$B$37&gt;=1,R206,O206)</f>
        <v>-98.28718407068496</v>
      </c>
      <c r="K206" s="229">
        <f>IF('Small Signal'!$B$37&gt;=1,Z206+0,W206+0)</f>
        <v>-88.7781074899527</v>
      </c>
      <c r="L206" s="229">
        <f>IF('Small Signal'!$B$37&gt;=1,AA206,X206)</f>
        <v>-5.732697616686116</v>
      </c>
      <c r="M206" s="229" t="str">
        <f>IMDIV(IMSUM('Small Signal'!$B$2*'Small Signal'!$B$16*'Small Signal'!$B$38,IMPRODUCT(H206,'Small Signal'!$B$2*'Small Signal'!$B$16*'Small Signal'!$B$38*'Small Signal'!$B$13*'Small Signal'!$B$14)),IMSUM(IMPRODUCT('Small Signal'!$B$11*'Small Signal'!$B$13*('Small Signal'!$B$14+'Small Signal'!$B$16),IMPOWER(H206,2)),IMSUM(IMPRODUCT(H206,('Small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-0.000226695060982731-0.00155637521155046i</v>
      </c>
      <c r="N206" s="229">
        <f t="shared" si="41"/>
        <v>-56.06653945353525</v>
      </c>
      <c r="O206" s="229">
        <f t="shared" si="42"/>
        <v>-98.28718407068496</v>
      </c>
      <c r="P206" s="229" t="str">
        <f>IMDIV(IMSUM('Small Signal'!$B$48,IMPRODUCT(H206,'Small Signal'!$B$49)),IMSUM(IMPRODUCT('Small Signal'!$B$52,IMPOWER(H206,2)),IMSUM(IMPRODUCT(H206,'Small Signal'!$B$51),'Small Signal'!$B$50)))</f>
        <v>-0.0000946507150403193-0.000559148937249597i</v>
      </c>
      <c r="Q206" s="229">
        <f t="shared" si="43"/>
        <v>-64.92675463330909</v>
      </c>
      <c r="R206" s="229">
        <f t="shared" si="44"/>
        <v>-99.60774538516836</v>
      </c>
      <c r="S206" s="229" t="str">
        <f>IMPRODUCT(IMDIV(IMSUM(IMPRODUCT(H206,'Small Signal'!$B$33*'Small Signal'!$B$6*'Small Signal'!$B$27*'Small Signal'!$B$7*'Small Signal'!$B$8),'Small Signal'!$B$33*'Small Signal'!$B$6*'Small Signal'!$B$27),IMSUM(IMSUM(IMPRODUCT(H206,('Small Signal'!$B$5+'Small Signal'!$B$6)*('Small Signal'!$B$32*'Small Signal'!$B$33)+'Small Signal'!$B$5*'Small Signal'!$B$33*('Small Signal'!$B$8+'Small Signal'!$B$9)+'Small Signal'!$B$6*'Small Signal'!$B$33*('Small Signal'!$B$8+'Small Signal'!$B$9)+'Small Signal'!$B$7*'Small Signal'!$B$8*('Small Signal'!$B$5+'Small Signal'!$B$6)),'Small Signal'!$B$6+'Small Signal'!$B$5),IMPRODUCT(IMPOWER(H206,2),'Small Signal'!$B$32*'Small Signal'!$B$33*'Small Signal'!$B$8*'Small Signal'!$B$7*('Small Signal'!$B$5+'Small Signal'!$B$6)+('Small Signal'!$B$5+'Small Signal'!$B$6)*('Small Signal'!$B$9*'Small Signal'!$B$8*'Small Signal'!$B$33*'Small Signal'!$B$7)))),-1)</f>
        <v>-0.00103147494225348+0.0231201059793238i</v>
      </c>
      <c r="T206" s="229">
        <f t="shared" si="45"/>
        <v>-32.71156803641744</v>
      </c>
      <c r="U206" s="229">
        <f t="shared" si="46"/>
        <v>92.55448645399885</v>
      </c>
      <c r="V206" s="229" t="str">
        <f t="shared" si="47"/>
        <v>0.0000362173901095754-3.63585180345126E-06i</v>
      </c>
      <c r="W206" s="226">
        <f t="shared" si="48"/>
        <v>-88.7781074899527</v>
      </c>
      <c r="X206" s="229">
        <f t="shared" si="49"/>
        <v>-5.732697616686116</v>
      </c>
      <c r="Y206" s="229" t="str">
        <f t="shared" si="50"/>
        <v>0.0000130252125282674-1.61158644499034E-06i</v>
      </c>
      <c r="Z206" s="226">
        <f t="shared" si="51"/>
        <v>-97.63832266972653</v>
      </c>
      <c r="AA206" s="229">
        <f t="shared" si="52"/>
        <v>-7.0532589311695295</v>
      </c>
    </row>
    <row r="207" spans="6:27" ht="12.75">
      <c r="F207" s="78">
        <v>205</v>
      </c>
      <c r="G207" s="229">
        <f>10^('Small Signal'!F207/30)</f>
        <v>6812920.69057962</v>
      </c>
      <c r="H207" s="229" t="str">
        <f t="shared" si="40"/>
        <v>42806843.1820297i</v>
      </c>
      <c r="I207" s="229">
        <f>IF('Small Signal'!$B$37&gt;=1,Q207+0,N207+0)</f>
        <v>-56.75078063456455</v>
      </c>
      <c r="J207" s="229">
        <f>IF('Small Signal'!$B$37&gt;=1,R207,O207)</f>
        <v>-97.68747576404174</v>
      </c>
      <c r="K207" s="229">
        <f>IF('Small Signal'!$B$37&gt;=1,Z207+0,W207+0)</f>
        <v>-90.12775587951232</v>
      </c>
      <c r="L207" s="229">
        <f>IF('Small Signal'!$B$37&gt;=1,AA207,X207)</f>
        <v>-5.321486273104854</v>
      </c>
      <c r="M207" s="229" t="str">
        <f>IMDIV(IMSUM('Small Signal'!$B$2*'Small Signal'!$B$16*'Small Signal'!$B$38,IMPRODUCT(H207,'Small Signal'!$B$2*'Small Signal'!$B$16*'Small Signal'!$B$38*'Small Signal'!$B$13*'Small Signal'!$B$14)),IMSUM(IMPRODUCT('Small Signal'!$B$11*'Small Signal'!$B$13*('Small Signal'!$B$14+'Small Signal'!$B$16),IMPOWER(H207,2)),IMSUM(IMPRODUCT(H207,('Small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-0.000194454626294622-0.00144058896892482i</v>
      </c>
      <c r="N207" s="229">
        <f t="shared" si="41"/>
        <v>-56.75078063456455</v>
      </c>
      <c r="O207" s="229">
        <f t="shared" si="42"/>
        <v>-97.68747576404174</v>
      </c>
      <c r="P207" s="229" t="str">
        <f>IMDIV(IMSUM('Small Signal'!$B$48,IMPRODUCT(H207,'Small Signal'!$B$49)),IMSUM(IMPRODUCT('Small Signal'!$B$52,IMPOWER(H207,2)),IMSUM(IMPRODUCT(H207,'Small Signal'!$B$51),'Small Signal'!$B$50)))</f>
        <v>-0.0000811816526421667-0.000517793406093106i</v>
      </c>
      <c r="Q207" s="229">
        <f t="shared" si="43"/>
        <v>-65.6114059417029</v>
      </c>
      <c r="R207" s="229">
        <f t="shared" si="44"/>
        <v>-98.91051606858215</v>
      </c>
      <c r="S207" s="229" t="str">
        <f>IMPRODUCT(IMDIV(IMSUM(IMPRODUCT(H207,'Small Signal'!$B$33*'Small Signal'!$B$6*'Small Signal'!$B$27*'Small Signal'!$B$7*'Small Signal'!$B$8),'Small Signal'!$B$33*'Small Signal'!$B$6*'Small Signal'!$B$27),IMSUM(IMSUM(IMPRODUCT(H207,('Small Signal'!$B$5+'Small Signal'!$B$6)*('Small Signal'!$B$32*'Small Signal'!$B$33)+'Small Signal'!$B$5*'Small Signal'!$B$33*('Small Signal'!$B$8+'Small Signal'!$B$9)+'Small Signal'!$B$6*'Small Signal'!$B$33*('Small Signal'!$B$8+'Small Signal'!$B$9)+'Small Signal'!$B$7*'Small Signal'!$B$8*('Small Signal'!$B$5+'Small Signal'!$B$6)),'Small Signal'!$B$6+'Small Signal'!$B$5),IMPRODUCT(IMPOWER(H207,2),'Small Signal'!$B$32*'Small Signal'!$B$33*'Small Signal'!$B$8*'Small Signal'!$B$7*('Small Signal'!$B$5+'Small Signal'!$B$6)+('Small Signal'!$B$5+'Small Signal'!$B$6)*('Small Signal'!$B$9*'Small Signal'!$B$8*'Small Signal'!$B$33*'Small Signal'!$B$7)))),-1)</f>
        <v>-0.000884948467860928+0.0214180954020671i</v>
      </c>
      <c r="T207" s="229">
        <f t="shared" si="45"/>
        <v>-33.376975244947786</v>
      </c>
      <c r="U207" s="229">
        <f t="shared" si="46"/>
        <v>92.36598949093687</v>
      </c>
      <c r="V207" s="229" t="str">
        <f t="shared" si="47"/>
        <v>0.0000310267542952052-2.89000073648415E-06i</v>
      </c>
      <c r="W207" s="226">
        <f t="shared" si="48"/>
        <v>-90.12775587951232</v>
      </c>
      <c r="X207" s="229">
        <f t="shared" si="49"/>
        <v>-5.321486273104854</v>
      </c>
      <c r="Y207" s="229" t="str">
        <f t="shared" si="50"/>
        <v>0.0000111619901493875-1.28053589979681E-06i</v>
      </c>
      <c r="Z207" s="226">
        <f t="shared" si="51"/>
        <v>-98.9883811866507</v>
      </c>
      <c r="AA207" s="229">
        <f t="shared" si="52"/>
        <v>-6.54452657764528</v>
      </c>
    </row>
    <row r="208" spans="6:27" ht="12.75">
      <c r="F208" s="78">
        <v>206</v>
      </c>
      <c r="G208" s="229">
        <f>10^('Small Signal'!F208/30)</f>
        <v>7356422.544596422</v>
      </c>
      <c r="H208" s="229" t="str">
        <f t="shared" si="40"/>
        <v>46221766.0456129i</v>
      </c>
      <c r="I208" s="229">
        <f>IF('Small Signal'!$B$37&gt;=1,Q208+0,N208+0)</f>
        <v>-57.432580448847375</v>
      </c>
      <c r="J208" s="229">
        <f>IF('Small Signal'!$B$37&gt;=1,R208,O208)</f>
        <v>-97.12953803485206</v>
      </c>
      <c r="K208" s="229">
        <f>IF('Small Signal'!$B$37&gt;=1,Z208+0,W208+0)</f>
        <v>-91.47514183723386</v>
      </c>
      <c r="L208" s="229">
        <f>IF('Small Signal'!$B$37&gt;=1,AA208,X208)</f>
        <v>-4.938166715498119</v>
      </c>
      <c r="M208" s="229" t="str">
        <f>IMDIV(IMSUM('Small Signal'!$B$2*'Small Signal'!$B$16*'Small Signal'!$B$38,IMPRODUCT(H208,'Small Signal'!$B$2*'Small Signal'!$B$16*'Small Signal'!$B$38*'Small Signal'!$B$13*'Small Signal'!$B$14)),IMSUM(IMPRODUCT('Small Signal'!$B$11*'Small Signal'!$B$13*('Small Signal'!$B$14+'Small Signal'!$B$16),IMPOWER(H208,2)),IMSUM(IMPRODUCT(H208,('Small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-0.000166797063935423-0.00133352143410208i</v>
      </c>
      <c r="N208" s="229">
        <f t="shared" si="41"/>
        <v>-57.432580448847375</v>
      </c>
      <c r="O208" s="229">
        <f t="shared" si="42"/>
        <v>-97.12953803485206</v>
      </c>
      <c r="P208" s="229" t="str">
        <f>IMDIV(IMSUM('Small Signal'!$B$48,IMPRODUCT(H208,'Small Signal'!$B$49)),IMSUM(IMPRODUCT('Small Signal'!$B$52,IMPOWER(H208,2)),IMSUM(IMPRODUCT(H208,'Small Signal'!$B$51),'Small Signal'!$B$50)))</f>
        <v>-0.0000696292606676539-0.000479502508043245i</v>
      </c>
      <c r="Q208" s="229">
        <f t="shared" si="43"/>
        <v>-66.29355755212259</v>
      </c>
      <c r="R208" s="229">
        <f t="shared" si="44"/>
        <v>-98.26225331341148</v>
      </c>
      <c r="S208" s="229" t="str">
        <f>IMPRODUCT(IMDIV(IMSUM(IMPRODUCT(H208,'Small Signal'!$B$33*'Small Signal'!$B$6*'Small Signal'!$B$27*'Small Signal'!$B$7*'Small Signal'!$B$8),'Small Signal'!$B$33*'Small Signal'!$B$6*'Small Signal'!$B$27),IMSUM(IMSUM(IMPRODUCT(H208,('Small Signal'!$B$5+'Small Signal'!$B$6)*('Small Signal'!$B$32*'Small Signal'!$B$33)+'Small Signal'!$B$5*'Small Signal'!$B$33*('Small Signal'!$B$8+'Small Signal'!$B$9)+'Small Signal'!$B$6*'Small Signal'!$B$33*('Small Signal'!$B$8+'Small Signal'!$B$9)+'Small Signal'!$B$7*'Small Signal'!$B$8*('Small Signal'!$B$5+'Small Signal'!$B$6)),'Small Signal'!$B$6+'Small Signal'!$B$5),IMPRODUCT(IMPOWER(H208,2),'Small Signal'!$B$32*'Small Signal'!$B$33*'Small Signal'!$B$8*'Small Signal'!$B$7*('Small Signal'!$B$5+'Small Signal'!$B$6)+('Small Signal'!$B$5+'Small Signal'!$B$6)*('Small Signal'!$B$9*'Small Signal'!$B$8*'Small Signal'!$B$33*'Small Signal'!$B$7)))),-1)</f>
        <v>-0.000759205568631463+0.0198405729242553i</v>
      </c>
      <c r="T208" s="229">
        <f t="shared" si="45"/>
        <v>-34.04256138838648</v>
      </c>
      <c r="U208" s="229">
        <f t="shared" si="46"/>
        <v>92.19137131935393</v>
      </c>
      <c r="V208" s="229" t="str">
        <f t="shared" si="47"/>
        <v>0.000026584462519131-2.29693241190272E-06i</v>
      </c>
      <c r="W208" s="226">
        <f t="shared" si="48"/>
        <v>-91.47514183723386</v>
      </c>
      <c r="X208" s="229">
        <f t="shared" si="49"/>
        <v>-4.938166715498119</v>
      </c>
      <c r="Y208" s="229" t="str">
        <f t="shared" si="50"/>
        <v>9.56646740063389E-06-1.01744344965938E-06i</v>
      </c>
      <c r="Z208" s="226">
        <f t="shared" si="51"/>
        <v>-100.33611894050908</v>
      </c>
      <c r="AA208" s="229">
        <f t="shared" si="52"/>
        <v>-6.070881994057519</v>
      </c>
    </row>
    <row r="209" spans="6:27" ht="12.75">
      <c r="F209" s="78">
        <v>207</v>
      </c>
      <c r="G209" s="229">
        <f>10^('Small Signal'!F209/30)</f>
        <v>7943282.3472428275</v>
      </c>
      <c r="H209" s="229" t="str">
        <f t="shared" si="40"/>
        <v>49909114.9349751i</v>
      </c>
      <c r="I209" s="229">
        <f>IF('Small Signal'!$B$37&gt;=1,Q209+0,N209+0)</f>
        <v>-58.112270884218034</v>
      </c>
      <c r="J209" s="229">
        <f>IF('Small Signal'!$B$37&gt;=1,R209,O209)</f>
        <v>-96.61079196612069</v>
      </c>
      <c r="K209" s="229">
        <f>IF('Small Signal'!$B$37&gt;=1,Z209+0,W209+0)</f>
        <v>-92.82057196464054</v>
      </c>
      <c r="L209" s="229">
        <f>IF('Small Signal'!$B$37&gt;=1,AA209,X209)</f>
        <v>-4.581175637812563</v>
      </c>
      <c r="M209" s="229" t="str">
        <f>IMDIV(IMSUM('Small Signal'!$B$2*'Small Signal'!$B$16*'Small Signal'!$B$38,IMPRODUCT(H209,'Small Signal'!$B$2*'Small Signal'!$B$16*'Small Signal'!$B$38*'Small Signal'!$B$13*'Small Signal'!$B$14)),IMSUM(IMPRODUCT('Small Signal'!$B$11*'Small Signal'!$B$13*('Small Signal'!$B$14+'Small Signal'!$B$16),IMPOWER(H209,2)),IMSUM(IMPRODUCT(H209,('Small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-0.000143071552738865-0.00123449470748601i</v>
      </c>
      <c r="N209" s="229">
        <f t="shared" si="41"/>
        <v>-58.112270884218034</v>
      </c>
      <c r="O209" s="229">
        <f t="shared" si="42"/>
        <v>-96.61079196612069</v>
      </c>
      <c r="P209" s="229" t="str">
        <f>IMDIV(IMSUM('Small Signal'!$B$48,IMPRODUCT(H209,'Small Signal'!$B$49)),IMSUM(IMPRODUCT('Small Signal'!$B$52,IMPOWER(H209,2)),IMSUM(IMPRODUCT(H209,'Small Signal'!$B$51),'Small Signal'!$B$50)))</f>
        <v>-0.0000597207976189755-0.000444047924987636i</v>
      </c>
      <c r="Q209" s="229">
        <f t="shared" si="43"/>
        <v>-66.9735497448311</v>
      </c>
      <c r="R209" s="229">
        <f t="shared" si="44"/>
        <v>-97.65984840249273</v>
      </c>
      <c r="S209" s="229" t="str">
        <f>IMPRODUCT(IMDIV(IMSUM(IMPRODUCT(H209,'Small Signal'!$B$33*'Small Signal'!$B$6*'Small Signal'!$B$27*'Small Signal'!$B$7*'Small Signal'!$B$8),'Small Signal'!$B$33*'Small Signal'!$B$6*'Small Signal'!$B$27),IMSUM(IMSUM(IMPRODUCT(H209,('Small Signal'!$B$5+'Small Signal'!$B$6)*('Small Signal'!$B$32*'Small Signal'!$B$33)+'Small Signal'!$B$5*'Small Signal'!$B$33*('Small Signal'!$B$8+'Small Signal'!$B$9)+'Small Signal'!$B$6*'Small Signal'!$B$33*('Small Signal'!$B$8+'Small Signal'!$B$9)+'Small Signal'!$B$7*'Small Signal'!$B$8*('Small Signal'!$B$5+'Small Signal'!$B$6)),'Small Signal'!$B$6+'Small Signal'!$B$5),IMPRODUCT(IMPOWER(H209,2),'Small Signal'!$B$32*'Small Signal'!$B$33*'Small Signal'!$B$8*'Small Signal'!$B$7*('Small Signal'!$B$5+'Small Signal'!$B$6)+('Small Signal'!$B$5+'Small Signal'!$B$6)*('Small Signal'!$B$9*'Small Signal'!$B$8*'Small Signal'!$B$33*'Small Signal'!$B$7)))),-1)</f>
        <v>-0.000651306527484644+0.0183785992311706i</v>
      </c>
      <c r="T209" s="229">
        <f t="shared" si="45"/>
        <v>-34.70830108042249</v>
      </c>
      <c r="U209" s="229">
        <f t="shared" si="46"/>
        <v>92.02961632830812</v>
      </c>
      <c r="V209" s="229" t="str">
        <f t="shared" si="47"/>
        <v>0.0000227814669180827-0.000001825420268038i</v>
      </c>
      <c r="W209" s="226">
        <f t="shared" si="48"/>
        <v>-92.82057196464054</v>
      </c>
      <c r="X209" s="229">
        <f t="shared" si="49"/>
        <v>-4.581175637812563</v>
      </c>
      <c r="Y209" s="229" t="str">
        <f t="shared" si="50"/>
        <v>0.0000081998753980965-8.08373293144539E-07i</v>
      </c>
      <c r="Z209" s="226">
        <f t="shared" si="51"/>
        <v>-101.68185082525358</v>
      </c>
      <c r="AA209" s="229">
        <f t="shared" si="52"/>
        <v>-5.6302320741846</v>
      </c>
    </row>
    <row r="210" spans="6:27" ht="12.75">
      <c r="F210" s="78">
        <v>208</v>
      </c>
      <c r="G210" s="229">
        <f>10^('Small Signal'!F210/30)</f>
        <v>8576958.985908957</v>
      </c>
      <c r="H210" s="229" t="str">
        <f t="shared" si="40"/>
        <v>53890622.6805451i</v>
      </c>
      <c r="I210" s="229">
        <f>IF('Small Signal'!$B$37&gt;=1,Q210+0,N210+0)</f>
        <v>-58.79014064931476</v>
      </c>
      <c r="J210" s="229">
        <f>IF('Small Signal'!$B$37&gt;=1,R210,O210)</f>
        <v>-96.12874941139177</v>
      </c>
      <c r="K210" s="229">
        <f>IF('Small Signal'!$B$37&gt;=1,Z210+0,W210+0)</f>
        <v>-94.16431317635673</v>
      </c>
      <c r="L210" s="229">
        <f>IF('Small Signal'!$B$37&gt;=1,AA210,X210)</f>
        <v>-4.248967473663167</v>
      </c>
      <c r="M210" s="229" t="str">
        <f>IMDIV(IMSUM('Small Signal'!$B$2*'Small Signal'!$B$16*'Small Signal'!$B$38,IMPRODUCT(H210,'Small Signal'!$B$2*'Small Signal'!$B$16*'Small Signal'!$B$38*'Small Signal'!$B$13*'Small Signal'!$B$14)),IMSUM(IMPRODUCT('Small Signal'!$B$11*'Small Signal'!$B$13*('Small Signal'!$B$14+'Small Signal'!$B$16),IMPOWER(H210,2)),IMSUM(IMPRODUCT(H210,('Small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-0.000122719532065924-0.00114288790362088i</v>
      </c>
      <c r="N210" s="229">
        <f t="shared" si="41"/>
        <v>-58.79014064931476</v>
      </c>
      <c r="O210" s="229">
        <f t="shared" si="42"/>
        <v>-96.12874941139177</v>
      </c>
      <c r="P210" s="229" t="str">
        <f>IMDIV(IMSUM('Small Signal'!$B$48,IMPRODUCT(H210,'Small Signal'!$B$49)),IMSUM(IMPRODUCT('Small Signal'!$B$52,IMPOWER(H210,2)),IMSUM(IMPRODUCT(H210,'Small Signal'!$B$51),'Small Signal'!$B$50)))</f>
        <v>-0.0000512223319680152-0.00041121859783401i</v>
      </c>
      <c r="Q210" s="229">
        <f t="shared" si="43"/>
        <v>-67.65167834305346</v>
      </c>
      <c r="R210" s="229">
        <f t="shared" si="44"/>
        <v>-97.1003221517494</v>
      </c>
      <c r="S210" s="229" t="str">
        <f>IMPRODUCT(IMDIV(IMSUM(IMPRODUCT(H210,'Small Signal'!$B$33*'Small Signal'!$B$6*'Small Signal'!$B$27*'Small Signal'!$B$7*'Small Signal'!$B$8),'Small Signal'!$B$33*'Small Signal'!$B$6*'Small Signal'!$B$27),IMSUM(IMSUM(IMPRODUCT(H210,('Small Signal'!$B$5+'Small Signal'!$B$6)*('Small Signal'!$B$32*'Small Signal'!$B$33)+'Small Signal'!$B$5*'Small Signal'!$B$33*('Small Signal'!$B$8+'Small Signal'!$B$9)+'Small Signal'!$B$6*'Small Signal'!$B$33*('Small Signal'!$B$8+'Small Signal'!$B$9)+'Small Signal'!$B$7*'Small Signal'!$B$8*('Small Signal'!$B$5+'Small Signal'!$B$6)),'Small Signal'!$B$6+'Small Signal'!$B$5),IMPRODUCT(IMPOWER(H210,2),'Small Signal'!$B$32*'Small Signal'!$B$33*'Small Signal'!$B$8*'Small Signal'!$B$7*('Small Signal'!$B$5+'Small Signal'!$B$6)+('Small Signal'!$B$5+'Small Signal'!$B$6)*('Small Signal'!$B$9*'Small Signal'!$B$8*'Small Signal'!$B$33*'Small Signal'!$B$7)))),-1)</f>
        <v>-0.000558725250644759+0.0170238426534133i</v>
      </c>
      <c r="T210" s="229">
        <f t="shared" si="45"/>
        <v>-35.374172527041985</v>
      </c>
      <c r="U210" s="229">
        <f t="shared" si="46"/>
        <v>91.8797819377286</v>
      </c>
      <c r="V210" s="229" t="str">
        <f t="shared" si="47"/>
        <v>0.0000195249103430438-1.45059767398136E-06i</v>
      </c>
      <c r="W210" s="226">
        <f t="shared" si="48"/>
        <v>-94.16431317635673</v>
      </c>
      <c r="X210" s="229">
        <f t="shared" si="49"/>
        <v>-4.248967473663167</v>
      </c>
      <c r="Y210" s="229" t="str">
        <f t="shared" si="50"/>
        <v>7.02913991595087E-06-6.42242705619799E-07i</v>
      </c>
      <c r="Z210" s="226">
        <f t="shared" si="51"/>
        <v>-103.02585087009545</v>
      </c>
      <c r="AA210" s="229">
        <f t="shared" si="52"/>
        <v>-5.220540214020798</v>
      </c>
    </row>
    <row r="211" spans="6:27" ht="12.75">
      <c r="F211" s="78">
        <v>209</v>
      </c>
      <c r="G211" s="229">
        <f>10^('Small Signal'!F211/30)</f>
        <v>9261187.281287955</v>
      </c>
      <c r="H211" s="229" t="str">
        <f t="shared" si="40"/>
        <v>58189755.8528269i</v>
      </c>
      <c r="I211" s="229">
        <f>IF('Small Signal'!$B$37&gt;=1,Q211+0,N211+0)</f>
        <v>-59.46644032586417</v>
      </c>
      <c r="J211" s="229">
        <f>IF('Small Signal'!$B$37&gt;=1,R211,O211)</f>
        <v>-95.68102540016764</v>
      </c>
      <c r="K211" s="229">
        <f>IF('Small Signal'!$B$37&gt;=1,Z211+0,W211+0)</f>
        <v>-95.50659734654005</v>
      </c>
      <c r="L211" s="229">
        <f>IF('Small Signal'!$B$37&gt;=1,AA211,X211)</f>
        <v>-3.940031787168018</v>
      </c>
      <c r="M211" s="229" t="str">
        <f>IMDIV(IMSUM('Small Signal'!$B$2*'Small Signal'!$B$16*'Small Signal'!$B$38,IMPRODUCT(H211,'Small Signal'!$B$2*'Small Signal'!$B$16*'Small Signal'!$B$38*'Small Signal'!$B$13*'Small Signal'!$B$14)),IMSUM(IMPRODUCT('Small Signal'!$B$11*'Small Signal'!$B$13*('Small Signal'!$B$14+'Small Signal'!$B$16),IMPOWER(H211,2)),IMSUM(IMPRODUCT(H211,('Small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-0.000105261666208623-0.00105813151724096i</v>
      </c>
      <c r="N211" s="229">
        <f t="shared" si="41"/>
        <v>-59.46644032586417</v>
      </c>
      <c r="O211" s="229">
        <f t="shared" si="42"/>
        <v>-95.68102540016764</v>
      </c>
      <c r="P211" s="229" t="str">
        <f>IMDIV(IMSUM('Small Signal'!$B$48,IMPRODUCT(H211,'Small Signal'!$B$49)),IMSUM(IMPRODUCT('Small Signal'!$B$52,IMPOWER(H211,2)),IMSUM(IMPRODUCT(H211,'Small Signal'!$B$51),'Small Signal'!$B$50)))</f>
        <v>-0.0000439332199369972-0.00038081937106153i</v>
      </c>
      <c r="Q211" s="229">
        <f t="shared" si="43"/>
        <v>-68.32820003229007</v>
      </c>
      <c r="R211" s="229">
        <f t="shared" si="44"/>
        <v>-96.58083452977063</v>
      </c>
      <c r="S211" s="229" t="str">
        <f>IMPRODUCT(IMDIV(IMSUM(IMPRODUCT(H211,'Small Signal'!$B$33*'Small Signal'!$B$6*'Small Signal'!$B$27*'Small Signal'!$B$7*'Small Signal'!$B$8),'Small Signal'!$B$33*'Small Signal'!$B$6*'Small Signal'!$B$27),IMSUM(IMSUM(IMPRODUCT(H211,('Small Signal'!$B$5+'Small Signal'!$B$6)*('Small Signal'!$B$32*'Small Signal'!$B$33)+'Small Signal'!$B$5*'Small Signal'!$B$33*('Small Signal'!$B$8+'Small Signal'!$B$9)+'Small Signal'!$B$6*'Small Signal'!$B$33*('Small Signal'!$B$8+'Small Signal'!$B$9)+'Small Signal'!$B$7*'Small Signal'!$B$8*('Small Signal'!$B$5+'Small Signal'!$B$6)),'Small Signal'!$B$6+'Small Signal'!$B$5),IMPRODUCT(IMPOWER(H211,2),'Small Signal'!$B$32*'Small Signal'!$B$33*'Small Signal'!$B$8*'Small Signal'!$B$7*('Small Signal'!$B$5+'Small Signal'!$B$6)+('Small Signal'!$B$5+'Small Signal'!$B$6)*('Small Signal'!$B$9*'Small Signal'!$B$8*'Small Signal'!$B$33*'Small Signal'!$B$7)))),-1)</f>
        <v>-0.000479291647513376+0.0157685450488495i</v>
      </c>
      <c r="T211" s="229">
        <f t="shared" si="45"/>
        <v>-36.04015702067589</v>
      </c>
      <c r="U211" s="229">
        <f t="shared" si="46"/>
        <v>91.74099361299962</v>
      </c>
      <c r="V211" s="229" t="str">
        <f t="shared" si="47"/>
        <v>0.0000167356455346387-1.15266972734338E-06i</v>
      </c>
      <c r="W211" s="226">
        <f t="shared" si="48"/>
        <v>-95.50659734654005</v>
      </c>
      <c r="X211" s="229">
        <f t="shared" si="49"/>
        <v>-3.940031787168018</v>
      </c>
      <c r="Y211" s="229" t="str">
        <f t="shared" si="50"/>
        <v>6.02602423342244E-06-5.10239413956465E-07i</v>
      </c>
      <c r="Z211" s="226">
        <f t="shared" si="51"/>
        <v>-104.36835705296596</v>
      </c>
      <c r="AA211" s="229">
        <f t="shared" si="52"/>
        <v>-4.839840916771019</v>
      </c>
    </row>
    <row r="212" spans="6:27" ht="12.75">
      <c r="F212" s="78">
        <v>210</v>
      </c>
      <c r="G212" s="229">
        <f>10^('Small Signal'!F212/30)</f>
        <v>10000000</v>
      </c>
      <c r="H212" s="229" t="str">
        <f t="shared" si="40"/>
        <v>62831853.0717959i</v>
      </c>
      <c r="I212" s="229">
        <f>IF('Small Signal'!$B$37&gt;=1,Q212+0,N212+0)</f>
        <v>-60.141387038987936</v>
      </c>
      <c r="J212" s="229">
        <f>IF('Small Signal'!$B$37&gt;=1,R212,O212)</f>
        <v>-95.26534612776732</v>
      </c>
      <c r="K212" s="229">
        <f>IF('Small Signal'!$B$37&gt;=1,Z212+0,W212+0)</f>
        <v>-96.84762554391261</v>
      </c>
      <c r="L212" s="229">
        <f>IF('Small Signal'!$B$37&gt;=1,AA212,X212)</f>
        <v>-3.6529059636498853</v>
      </c>
      <c r="M212" s="229" t="str">
        <f>IMDIV(IMSUM('Small Signal'!$B$2*'Small Signal'!$B$16*'Small Signal'!$B$38,IMPRODUCT(H212,'Small Signal'!$B$2*'Small Signal'!$B$16*'Small Signal'!$B$38*'Small Signal'!$B$13*'Small Signal'!$B$14)),IMSUM(IMPRODUCT('Small Signal'!$B$11*'Small Signal'!$B$13*('Small Signal'!$B$14+'Small Signal'!$B$16),IMPOWER(H212,2)),IMSUM(IMPRODUCT(H212,('Small Signal'!$B$11+'Small Signal'!$B$13*'Small Signal'!$B$16*'Small Signal'!$B$14+'Small Signal'!$B$13*'Small Signal'!$B$16*'Small Signal'!$B$12+'Small Signal'!$B$13*'Small Signal'!$B$14*'Small Signal'!$B$12+'Small Signal'!$B$13*1*'Small Signal'!$B$38*'Small Signal'!$B$16*'Small Signal'!$B$30*'Small Signal'!$B$2+'Small Signal'!$B$13*'Small Signal'!$B$38*1*'Small Signal'!$B$14*'Small Signal'!$B$30*'Small Signal'!$B$2)),('Small Signal'!$B$12+'Small Signal'!$B$16+'Small Signal'!$B$38*1*'Small Signal'!$B$30*'Small Signal'!$B$2))))</f>
        <v>-0.0000902866391534249-0.000979702496801818i</v>
      </c>
      <c r="N212" s="229">
        <f t="shared" si="41"/>
        <v>-60.141387038987936</v>
      </c>
      <c r="O212" s="229">
        <f t="shared" si="42"/>
        <v>-95.26534612776732</v>
      </c>
      <c r="P212" s="229" t="str">
        <f>IMDIV(IMSUM('Small Signal'!$B$48,IMPRODUCT(H212,'Small Signal'!$B$49)),IMSUM(IMPRODUCT('Small Signal'!$B$52,IMPOWER(H212,2)),IMSUM(IMPRODUCT(H212,'Small Signal'!$B$51),'Small Signal'!$B$50)))</f>
        <v>-0.0000376813689553858-0.000352669753935286i</v>
      </c>
      <c r="Q212" s="229">
        <f t="shared" si="43"/>
        <v>-69.00333717403817</v>
      </c>
      <c r="R212" s="229">
        <f t="shared" si="44"/>
        <v>-96.09869005165062</v>
      </c>
      <c r="S212" s="229" t="str">
        <f>IMPRODUCT(IMDIV(IMSUM(IMPRODUCT(H212,'Small Signal'!$B$33*'Small Signal'!$B$6*'Small Signal'!$B$27*'Small Signal'!$B$7*'Small Signal'!$B$8),'Small Signal'!$B$33*'Small Signal'!$B$6*'Small Signal'!$B$27),IMSUM(IMSUM(IMPRODUCT(H212,('Small Signal'!$B$5+'Small Signal'!$B$6)*('Small Signal'!$B$32*'Small Signal'!$B$33)+'Small Signal'!$B$5*'Small Signal'!$B$33*('Small Signal'!$B$8+'Small Signal'!$B$9)+'Small Signal'!$B$6*'Small Signal'!$B$33*('Small Signal'!$B$8+'Small Signal'!$B$9)+'Small Signal'!$B$7*'Small Signal'!$B$8*('Small Signal'!$B$5+'Small Signal'!$B$6)),'Small Signal'!$B$6+'Small Signal'!$B$5),IMPRODUCT(IMPOWER(H212,2),'Small Signal'!$B$32*'Small Signal'!$B$33*'Small Signal'!$B$8*'Small Signal'!$B$7*('Small Signal'!$B$5+'Small Signal'!$B$6)+('Small Signal'!$B$5+'Small Signal'!$B$6)*('Small Signal'!$B$9*'Small Signal'!$B$8*'Small Signal'!$B$33*'Small Signal'!$B$7)))),-1)</f>
        <v>-0.000411141884148858+0.0146054880158347i</v>
      </c>
      <c r="T212" s="229">
        <f t="shared" si="45"/>
        <v>-36.70623850492469</v>
      </c>
      <c r="U212" s="229">
        <f t="shared" si="46"/>
        <v>91.61244016411744</v>
      </c>
      <c r="V212" s="229" t="str">
        <f t="shared" si="47"/>
        <v>0.0000143461536950573-9.15883695704899E-07i</v>
      </c>
      <c r="W212" s="226">
        <f t="shared" si="48"/>
        <v>-96.84762554391261</v>
      </c>
      <c r="X212" s="229">
        <f t="shared" si="49"/>
        <v>-3.6529059636498853</v>
      </c>
      <c r="Y212" s="229" t="str">
        <f t="shared" si="50"/>
        <v>5.16640625367882E-06-4.05357475582865E-07i</v>
      </c>
      <c r="Z212" s="226">
        <f t="shared" si="51"/>
        <v>-105.70957567896285</v>
      </c>
      <c r="AA212" s="229">
        <f t="shared" si="52"/>
        <v>-4.486249887533181</v>
      </c>
    </row>
  </sheetData>
  <sheetProtection sheet="1"/>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W22"/>
  <sheetViews>
    <sheetView zoomScalePageLayoutView="0" workbookViewId="0" topLeftCell="A1">
      <selection activeCell="A3" sqref="A3"/>
    </sheetView>
  </sheetViews>
  <sheetFormatPr defaultColWidth="9.140625" defaultRowHeight="12.75"/>
  <cols>
    <col min="1" max="1" width="11.421875" style="0" bestFit="1" customWidth="1"/>
    <col min="2" max="2" width="12.140625" style="0" bestFit="1" customWidth="1"/>
    <col min="3" max="3" width="14.57421875" style="0" bestFit="1" customWidth="1"/>
    <col min="4" max="4" width="14.140625" style="0" bestFit="1" customWidth="1"/>
    <col min="5" max="6" width="11.421875" style="0" customWidth="1"/>
    <col min="14" max="14" width="8.421875" style="0" bestFit="1" customWidth="1"/>
    <col min="15" max="15" width="7.8515625" style="0" bestFit="1" customWidth="1"/>
    <col min="16" max="16" width="12.421875" style="0" bestFit="1" customWidth="1"/>
    <col min="17" max="17" width="11.7109375" style="0" bestFit="1" customWidth="1"/>
  </cols>
  <sheetData>
    <row r="2" spans="1:23" ht="12.75">
      <c r="A2" s="8" t="s">
        <v>184</v>
      </c>
      <c r="B2" s="8" t="s">
        <v>217</v>
      </c>
      <c r="C2" s="8" t="s">
        <v>312</v>
      </c>
      <c r="D2" s="8" t="s">
        <v>313</v>
      </c>
      <c r="E2" s="8" t="s">
        <v>187</v>
      </c>
      <c r="F2" s="8" t="s">
        <v>188</v>
      </c>
      <c r="G2" s="28" t="s">
        <v>0</v>
      </c>
      <c r="H2" s="28" t="s">
        <v>1</v>
      </c>
      <c r="I2" s="66" t="s">
        <v>59</v>
      </c>
      <c r="J2" s="28" t="s">
        <v>3</v>
      </c>
      <c r="K2" s="64" t="s">
        <v>179</v>
      </c>
      <c r="L2" s="8" t="s">
        <v>180</v>
      </c>
      <c r="M2" t="s">
        <v>13</v>
      </c>
      <c r="N2" s="8" t="s">
        <v>182</v>
      </c>
      <c r="O2" s="8" t="s">
        <v>183</v>
      </c>
      <c r="P2" t="s">
        <v>42</v>
      </c>
      <c r="Q2" s="8" t="s">
        <v>106</v>
      </c>
      <c r="R2" t="s">
        <v>22</v>
      </c>
      <c r="S2" t="s">
        <v>23</v>
      </c>
      <c r="T2" t="s">
        <v>45</v>
      </c>
      <c r="U2" s="8" t="s">
        <v>228</v>
      </c>
      <c r="V2" s="8" t="s">
        <v>229</v>
      </c>
      <c r="W2" s="8" t="s">
        <v>247</v>
      </c>
    </row>
    <row r="3" spans="1:23" ht="12.75">
      <c r="A3" s="8" t="s">
        <v>185</v>
      </c>
      <c r="B3" s="8">
        <v>182</v>
      </c>
      <c r="C3" s="186" t="s">
        <v>205</v>
      </c>
      <c r="D3" s="186" t="s">
        <v>206</v>
      </c>
      <c r="E3" s="57">
        <v>4.5</v>
      </c>
      <c r="F3" s="57">
        <v>42</v>
      </c>
      <c r="G3" s="205">
        <v>350</v>
      </c>
      <c r="H3" s="210">
        <v>12</v>
      </c>
      <c r="I3" s="76">
        <v>1</v>
      </c>
      <c r="J3" s="17">
        <v>0.8</v>
      </c>
      <c r="K3" s="203">
        <v>1.2</v>
      </c>
      <c r="L3" s="57">
        <v>3.4</v>
      </c>
      <c r="M3" s="57">
        <v>1.2</v>
      </c>
      <c r="N3" s="206">
        <f aca="true" t="shared" si="0" ref="N3:N10">G3/(2*3.14159*2700000)*10^6</f>
        <v>20.631213753167923</v>
      </c>
      <c r="O3" s="200">
        <v>2500</v>
      </c>
      <c r="P3" s="200">
        <v>100</v>
      </c>
      <c r="Q3" s="203">
        <v>4.7</v>
      </c>
      <c r="R3" s="205">
        <v>146</v>
      </c>
      <c r="S3" s="204">
        <v>135</v>
      </c>
      <c r="T3" s="205">
        <v>92</v>
      </c>
      <c r="U3" s="201">
        <f aca="true" t="shared" si="1" ref="U3:U10">92417/((fsw/1000)^(0.991))</f>
        <v>163.1563486216187</v>
      </c>
      <c r="V3" s="157" t="s">
        <v>227</v>
      </c>
      <c r="W3" s="206">
        <v>8.4</v>
      </c>
    </row>
    <row r="4" spans="1:23" ht="12.75">
      <c r="A4" s="8" t="s">
        <v>317</v>
      </c>
      <c r="B4" s="8">
        <v>555</v>
      </c>
      <c r="C4" s="186" t="s">
        <v>205</v>
      </c>
      <c r="D4" s="186" t="s">
        <v>206</v>
      </c>
      <c r="E4" s="57">
        <v>4.5</v>
      </c>
      <c r="F4" s="57">
        <v>42</v>
      </c>
      <c r="G4" s="205">
        <v>350</v>
      </c>
      <c r="H4" s="210">
        <v>12</v>
      </c>
      <c r="I4" s="76">
        <v>1</v>
      </c>
      <c r="J4" s="17">
        <v>0.8</v>
      </c>
      <c r="K4" s="203">
        <v>1.2</v>
      </c>
      <c r="L4" s="57">
        <v>3.4</v>
      </c>
      <c r="M4" s="57">
        <v>1.2</v>
      </c>
      <c r="N4" s="206">
        <f t="shared" si="0"/>
        <v>20.631213753167923</v>
      </c>
      <c r="O4" s="200">
        <v>2500</v>
      </c>
      <c r="P4" s="200">
        <v>100</v>
      </c>
      <c r="Q4" s="203">
        <v>4.7</v>
      </c>
      <c r="R4" s="205">
        <v>152</v>
      </c>
      <c r="S4" s="204">
        <v>135</v>
      </c>
      <c r="T4" s="205">
        <v>87</v>
      </c>
      <c r="U4" s="201">
        <f t="shared" si="1"/>
        <v>163.1563486216187</v>
      </c>
      <c r="V4" s="157">
        <v>1.7</v>
      </c>
      <c r="W4" s="206">
        <v>8.4</v>
      </c>
    </row>
    <row r="5" spans="1:23" ht="12.75">
      <c r="A5" s="8" t="s">
        <v>118</v>
      </c>
      <c r="B5" s="8">
        <v>182</v>
      </c>
      <c r="C5" s="186" t="s">
        <v>205</v>
      </c>
      <c r="D5" s="186" t="s">
        <v>206</v>
      </c>
      <c r="E5" s="57">
        <v>4.5</v>
      </c>
      <c r="F5" s="57">
        <v>60</v>
      </c>
      <c r="G5" s="205">
        <v>350</v>
      </c>
      <c r="H5" s="210">
        <v>12</v>
      </c>
      <c r="I5" s="76">
        <v>1</v>
      </c>
      <c r="J5" s="17">
        <v>0.8</v>
      </c>
      <c r="K5" s="203">
        <v>1.2</v>
      </c>
      <c r="L5" s="57">
        <v>3.4</v>
      </c>
      <c r="M5" s="57">
        <v>1.2</v>
      </c>
      <c r="N5" s="206">
        <f t="shared" si="0"/>
        <v>20.631213753167923</v>
      </c>
      <c r="O5" s="200">
        <v>2500</v>
      </c>
      <c r="P5" s="200">
        <v>100</v>
      </c>
      <c r="Q5" s="203">
        <v>4.7</v>
      </c>
      <c r="R5" s="205">
        <v>146</v>
      </c>
      <c r="S5" s="204">
        <v>135</v>
      </c>
      <c r="T5" s="205">
        <v>92</v>
      </c>
      <c r="U5" s="201">
        <f t="shared" si="1"/>
        <v>163.1563486216187</v>
      </c>
      <c r="V5" s="157" t="s">
        <v>227</v>
      </c>
      <c r="W5" s="206">
        <v>8.4</v>
      </c>
    </row>
    <row r="6" spans="1:23" ht="12.75">
      <c r="A6" s="8" t="s">
        <v>318</v>
      </c>
      <c r="B6" s="8">
        <v>555</v>
      </c>
      <c r="C6" s="186" t="s">
        <v>205</v>
      </c>
      <c r="D6" s="186" t="s">
        <v>206</v>
      </c>
      <c r="E6" s="57">
        <v>4.5</v>
      </c>
      <c r="F6" s="57">
        <v>60</v>
      </c>
      <c r="G6" s="205">
        <v>350</v>
      </c>
      <c r="H6" s="210">
        <v>12</v>
      </c>
      <c r="I6" s="76">
        <v>1</v>
      </c>
      <c r="J6" s="17">
        <v>0.8</v>
      </c>
      <c r="K6" s="203">
        <v>1.2</v>
      </c>
      <c r="L6" s="57">
        <v>3.4</v>
      </c>
      <c r="M6" s="57">
        <v>1.2</v>
      </c>
      <c r="N6" s="206">
        <f t="shared" si="0"/>
        <v>20.631213753167923</v>
      </c>
      <c r="O6" s="200">
        <v>2500</v>
      </c>
      <c r="P6" s="200">
        <v>100</v>
      </c>
      <c r="Q6" s="203">
        <v>4.7</v>
      </c>
      <c r="R6" s="205">
        <v>152</v>
      </c>
      <c r="S6" s="204">
        <v>135</v>
      </c>
      <c r="T6" s="205">
        <v>87</v>
      </c>
      <c r="U6" s="201">
        <f t="shared" si="1"/>
        <v>163.1563486216187</v>
      </c>
      <c r="V6" s="157">
        <v>1.7</v>
      </c>
      <c r="W6" s="206">
        <v>8.4</v>
      </c>
    </row>
    <row r="7" spans="1:23" ht="12.75">
      <c r="A7" s="8" t="s">
        <v>224</v>
      </c>
      <c r="B7" s="8">
        <v>515</v>
      </c>
      <c r="C7" s="186" t="s">
        <v>255</v>
      </c>
      <c r="D7" s="186" t="s">
        <v>256</v>
      </c>
      <c r="E7" s="57">
        <v>4.5</v>
      </c>
      <c r="F7" s="57">
        <v>42</v>
      </c>
      <c r="G7" s="205">
        <v>350</v>
      </c>
      <c r="H7" s="210">
        <v>17</v>
      </c>
      <c r="I7" s="76">
        <v>1</v>
      </c>
      <c r="J7" s="17">
        <v>0.8</v>
      </c>
      <c r="K7" s="203">
        <v>1.2</v>
      </c>
      <c r="L7" s="57">
        <v>3.4</v>
      </c>
      <c r="M7" s="57">
        <v>1.2</v>
      </c>
      <c r="N7" s="206">
        <f t="shared" si="0"/>
        <v>20.631213753167923</v>
      </c>
      <c r="O7" s="200">
        <v>2500</v>
      </c>
      <c r="P7" s="200">
        <v>100</v>
      </c>
      <c r="Q7" s="203">
        <v>6</v>
      </c>
      <c r="R7" s="205">
        <v>146</v>
      </c>
      <c r="S7" s="204">
        <v>135</v>
      </c>
      <c r="T7" s="205">
        <v>92</v>
      </c>
      <c r="U7" s="201">
        <f t="shared" si="1"/>
        <v>163.1563486216187</v>
      </c>
      <c r="V7" s="157" t="s">
        <v>227</v>
      </c>
      <c r="W7" s="206">
        <v>8.4</v>
      </c>
    </row>
    <row r="8" spans="1:23" ht="12.75">
      <c r="A8" s="8" t="s">
        <v>319</v>
      </c>
      <c r="B8" s="8">
        <v>555</v>
      </c>
      <c r="C8" s="186" t="s">
        <v>255</v>
      </c>
      <c r="D8" s="186" t="s">
        <v>256</v>
      </c>
      <c r="E8" s="57">
        <v>4.5</v>
      </c>
      <c r="F8" s="57">
        <v>42</v>
      </c>
      <c r="G8" s="205">
        <v>350</v>
      </c>
      <c r="H8" s="210">
        <v>17</v>
      </c>
      <c r="I8" s="76">
        <v>1</v>
      </c>
      <c r="J8" s="17">
        <v>0.8</v>
      </c>
      <c r="K8" s="203">
        <v>1.2</v>
      </c>
      <c r="L8" s="57">
        <v>3.4</v>
      </c>
      <c r="M8" s="57">
        <v>1.2</v>
      </c>
      <c r="N8" s="206">
        <f t="shared" si="0"/>
        <v>20.631213753167923</v>
      </c>
      <c r="O8" s="200">
        <v>2500</v>
      </c>
      <c r="P8" s="200">
        <v>100</v>
      </c>
      <c r="Q8" s="203">
        <v>6</v>
      </c>
      <c r="R8" s="205">
        <v>152</v>
      </c>
      <c r="S8" s="204">
        <v>135</v>
      </c>
      <c r="T8" s="205">
        <v>87</v>
      </c>
      <c r="U8" s="201">
        <f t="shared" si="1"/>
        <v>163.1563486216187</v>
      </c>
      <c r="V8" s="157">
        <v>1.7</v>
      </c>
      <c r="W8" s="206">
        <v>8.4</v>
      </c>
    </row>
    <row r="9" spans="1:23" ht="12.75">
      <c r="A9" s="8" t="s">
        <v>225</v>
      </c>
      <c r="B9" s="8">
        <v>558</v>
      </c>
      <c r="C9" s="186" t="s">
        <v>255</v>
      </c>
      <c r="D9" s="186" t="s">
        <v>256</v>
      </c>
      <c r="E9" s="57">
        <v>4.5</v>
      </c>
      <c r="F9" s="57">
        <v>60</v>
      </c>
      <c r="G9" s="205">
        <v>350</v>
      </c>
      <c r="H9" s="210">
        <v>17</v>
      </c>
      <c r="I9" s="76">
        <v>1</v>
      </c>
      <c r="J9" s="17">
        <v>0.8</v>
      </c>
      <c r="K9" s="203">
        <v>1.2</v>
      </c>
      <c r="L9" s="57">
        <v>3.4</v>
      </c>
      <c r="M9" s="57">
        <v>1.2</v>
      </c>
      <c r="N9" s="206">
        <f t="shared" si="0"/>
        <v>20.631213753167923</v>
      </c>
      <c r="O9" s="200">
        <v>2500</v>
      </c>
      <c r="P9" s="200">
        <v>100</v>
      </c>
      <c r="Q9" s="203">
        <v>6</v>
      </c>
      <c r="R9" s="205">
        <v>146</v>
      </c>
      <c r="S9" s="204">
        <v>135</v>
      </c>
      <c r="T9" s="205">
        <v>92</v>
      </c>
      <c r="U9" s="201">
        <f t="shared" si="1"/>
        <v>163.1563486216187</v>
      </c>
      <c r="V9" s="157" t="s">
        <v>227</v>
      </c>
      <c r="W9" s="206">
        <v>8.4</v>
      </c>
    </row>
    <row r="10" spans="1:23" ht="12.75">
      <c r="A10" s="8" t="s">
        <v>320</v>
      </c>
      <c r="B10" s="8">
        <v>555</v>
      </c>
      <c r="C10" s="186" t="s">
        <v>255</v>
      </c>
      <c r="D10" s="186" t="s">
        <v>256</v>
      </c>
      <c r="E10" s="57">
        <v>4.5</v>
      </c>
      <c r="F10" s="57">
        <v>60</v>
      </c>
      <c r="G10" s="205">
        <v>350</v>
      </c>
      <c r="H10" s="210">
        <v>17</v>
      </c>
      <c r="I10" s="76">
        <v>1</v>
      </c>
      <c r="J10" s="17">
        <v>0.8</v>
      </c>
      <c r="K10" s="203">
        <v>1.2</v>
      </c>
      <c r="L10" s="57">
        <v>3.4</v>
      </c>
      <c r="M10" s="57">
        <v>1.2</v>
      </c>
      <c r="N10" s="206">
        <f t="shared" si="0"/>
        <v>20.631213753167923</v>
      </c>
      <c r="O10" s="200">
        <v>2500</v>
      </c>
      <c r="P10" s="200">
        <v>100</v>
      </c>
      <c r="Q10" s="203">
        <v>6</v>
      </c>
      <c r="R10" s="205">
        <v>152</v>
      </c>
      <c r="S10" s="204">
        <v>135</v>
      </c>
      <c r="T10" s="205">
        <v>87</v>
      </c>
      <c r="U10" s="201">
        <f t="shared" si="1"/>
        <v>163.1563486216187</v>
      </c>
      <c r="V10" s="157">
        <v>1.7</v>
      </c>
      <c r="W10" s="206">
        <v>8.4</v>
      </c>
    </row>
    <row r="11" ht="12.75">
      <c r="I11" s="3"/>
    </row>
    <row r="12" ht="12.75">
      <c r="I12" s="3"/>
    </row>
    <row r="13" ht="12.75">
      <c r="I13" s="3"/>
    </row>
    <row r="14" ht="12.75">
      <c r="I14" s="3"/>
    </row>
    <row r="15" ht="12.75">
      <c r="I15" s="3"/>
    </row>
    <row r="16" ht="12.75">
      <c r="I16" s="3"/>
    </row>
    <row r="17" ht="12.75">
      <c r="I17" s="3"/>
    </row>
    <row r="18" ht="12.75">
      <c r="I18" s="3"/>
    </row>
    <row r="19" ht="12.75">
      <c r="I19" s="3"/>
    </row>
    <row r="20" ht="12.75">
      <c r="I20" s="3"/>
    </row>
    <row r="21" ht="12.75">
      <c r="I21" s="3"/>
    </row>
    <row r="22" ht="12.75">
      <c r="I22" s="3"/>
    </row>
  </sheetData>
  <sheetProtection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146"/>
  <sheetViews>
    <sheetView zoomScalePageLayoutView="0" workbookViewId="0" topLeftCell="A1">
      <selection activeCell="F35" sqref="F35"/>
    </sheetView>
  </sheetViews>
  <sheetFormatPr defaultColWidth="9.140625" defaultRowHeight="12.75"/>
  <cols>
    <col min="1" max="1" width="9.140625" style="96" customWidth="1"/>
    <col min="2" max="2" width="19.28125" style="96" bestFit="1" customWidth="1"/>
    <col min="3" max="3" width="12.421875" style="96" bestFit="1" customWidth="1"/>
    <col min="4" max="4" width="7.7109375" style="96" customWidth="1"/>
    <col min="5" max="5" width="8.7109375" style="97" customWidth="1"/>
    <col min="6" max="8" width="8.7109375" style="98" customWidth="1"/>
    <col min="9" max="9" width="8.7109375" style="99" customWidth="1"/>
    <col min="10" max="11" width="9.140625" style="136" customWidth="1"/>
    <col min="12" max="12" width="8.57421875" style="136" bestFit="1" customWidth="1"/>
    <col min="13" max="17" width="9.140625" style="97" customWidth="1"/>
    <col min="18" max="16384" width="9.140625" style="101" customWidth="1"/>
  </cols>
  <sheetData>
    <row r="1" spans="1:13" ht="18">
      <c r="A1" s="95" t="s">
        <v>121</v>
      </c>
      <c r="J1" s="100"/>
      <c r="K1" s="100"/>
      <c r="L1" s="100"/>
      <c r="M1" s="98"/>
    </row>
    <row r="2" spans="1:17" ht="18.75" thickBot="1">
      <c r="A2" s="102"/>
      <c r="B2" s="97"/>
      <c r="C2" s="97"/>
      <c r="D2" s="97"/>
      <c r="E2" s="103" t="s">
        <v>122</v>
      </c>
      <c r="J2" s="103" t="s">
        <v>123</v>
      </c>
      <c r="K2" s="104"/>
      <c r="L2" s="104"/>
      <c r="N2" s="101"/>
      <c r="O2" s="101"/>
      <c r="P2" s="101"/>
      <c r="Q2" s="101"/>
    </row>
    <row r="3" spans="1:17" ht="13.5" thickBot="1">
      <c r="A3" s="97"/>
      <c r="B3" s="105" t="s">
        <v>124</v>
      </c>
      <c r="C3" s="106">
        <v>100</v>
      </c>
      <c r="D3" s="97"/>
      <c r="E3" s="243" t="s">
        <v>125</v>
      </c>
      <c r="F3" s="244"/>
      <c r="G3" s="245" t="s">
        <v>126</v>
      </c>
      <c r="H3" s="246"/>
      <c r="J3" s="107" t="s">
        <v>127</v>
      </c>
      <c r="K3" s="108">
        <v>39</v>
      </c>
      <c r="L3" s="109" t="s">
        <v>238</v>
      </c>
      <c r="N3" s="101"/>
      <c r="O3" s="101"/>
      <c r="P3" s="101"/>
      <c r="Q3" s="101"/>
    </row>
    <row r="4" spans="2:17" ht="13.5" thickBot="1">
      <c r="B4" s="97"/>
      <c r="E4" s="110">
        <v>100</v>
      </c>
      <c r="F4" s="111">
        <v>150</v>
      </c>
      <c r="G4" s="112">
        <v>100</v>
      </c>
      <c r="H4" s="113">
        <v>102</v>
      </c>
      <c r="K4" s="114">
        <f>IF(K3*10^12&lt;10000,IF((10^(LOG(K3*10^12)-INT(LOG(K3*10^12))))-VLOOKUP((10^(LOG(K3*10^12)-INT(LOG(K3*10^12)))),c_s1:C_f1,1)&lt;VLOOKUP((10^(LOG(K3*10^12)-INT(LOG(K3*10^12)))),c_s1:C_f1,2)-(10^(LOG(K3*10^12)-INT(LOG(K3*10^12)))),VLOOKUP((10^(LOG(K3*10^12)-INT(LOG(K3*10^12)))),c_s1:C_f1,1),VLOOKUP((10^(LOG(K3*10^12)-INT(LOG(K3*10^12)))),c_s1:C_f1,2))*10^INT(LOG(K3*10^12)),IF((10^(LOG(K3*10^12)-INT(LOG(K3*10^12))))-VLOOKUP((10^(LOG(K3*10^12)-INT(LOG(K3*10^12)))),C_s2:C_f2,1)&lt;VLOOKUP((10^(LOG(K3*10^12)-INT(LOG(K3*10^12)))),C_s2:C_f2,2)-(10^(LOG(K3*10^12)-INT(LOG(K3*10^12)))),VLOOKUP((10^(LOG(K3*10^12)-INT(LOG(K3*10^12)))),C_s2:C_f2,1),VLOOKUP((10^(LOG(K3*10^12)-INT(LOG(K3*10^12)))),C_s2:C_f2,2))*10^INT(LOG(K3*10^12)))*10^-12</f>
        <v>33</v>
      </c>
      <c r="L4" s="115" t="s">
        <v>238</v>
      </c>
      <c r="P4" s="101"/>
      <c r="Q4" s="101"/>
    </row>
    <row r="5" spans="2:17" ht="13.5" thickBot="1">
      <c r="B5" s="116" t="s">
        <v>128</v>
      </c>
      <c r="C5" s="117">
        <f>(IF((10^(LOG(C3)-INT(LOG(C3)))*100)-VLOOKUP((10^(LOG(C3)-INT(LOG(C3)))*100),E6_s:E6_f,1)&lt;VLOOKUP((10^(LOG(C3)-INT(LOG(C3)))*100),E6_s:E6_f,2)-(10^(LOG(C3)-INT(LOG(C3)))*100),VLOOKUP((10^(LOG(C3)-INT(LOG(C3)))*100),E6_s:E6_f,1),VLOOKUP((10^(LOG(C3)-INT(LOG(C3)))*100),E6_s:E6_f,2)))*10^INT(LOG(C3))/100</f>
        <v>100</v>
      </c>
      <c r="E5" s="111">
        <v>150</v>
      </c>
      <c r="F5" s="110">
        <v>220</v>
      </c>
      <c r="G5" s="113">
        <v>102</v>
      </c>
      <c r="H5" s="112">
        <v>105</v>
      </c>
      <c r="J5" s="118"/>
      <c r="K5" s="119"/>
      <c r="L5" s="120"/>
      <c r="M5" s="98"/>
      <c r="N5" s="101"/>
      <c r="O5" s="101"/>
      <c r="P5" s="101"/>
      <c r="Q5" s="101"/>
    </row>
    <row r="6" spans="2:17" ht="13.5" thickBot="1">
      <c r="B6" s="121" t="s">
        <v>129</v>
      </c>
      <c r="C6" s="122">
        <f>(IF((10^(LOG(C3)-INT(LOG(C3)))*100)-VLOOKUP((10^(LOG(C3)-INT(LOG(C3)))*100),E12_s:E12_f,1)&lt;VLOOKUP((10^(LOG(C3)-INT(LOG(C3)))*100),E12_s:E12_f,2)-(10^(LOG(C3)-INT(LOG(C3)))*100),VLOOKUP((10^(LOG(C3)-INT(LOG(C3)))*100),E12_s:E12_f,1),VLOOKUP((10^(LOG(C3)-INT(LOG(C3)))*100),E12_s:E12_f,2)))*10^INT(LOG(C3))/100</f>
        <v>100</v>
      </c>
      <c r="E6" s="110">
        <v>220</v>
      </c>
      <c r="F6" s="111">
        <v>330</v>
      </c>
      <c r="G6" s="112">
        <v>105</v>
      </c>
      <c r="H6" s="113">
        <v>107</v>
      </c>
      <c r="J6" s="123" t="s">
        <v>130</v>
      </c>
      <c r="K6" s="124"/>
      <c r="L6" s="98"/>
      <c r="N6" s="101"/>
      <c r="O6" s="101"/>
      <c r="P6" s="101"/>
      <c r="Q6" s="101"/>
    </row>
    <row r="7" spans="2:17" ht="13.5" thickBot="1">
      <c r="B7" s="121" t="s">
        <v>131</v>
      </c>
      <c r="C7" s="122">
        <f>(IF((10^(LOG(C3)-INT(LOG(C3)))*100)-VLOOKUP((10^(LOG(C3)-INT(LOG(C3)))*100),E24_s:E24_f,1)&lt;VLOOKUP((10^(LOG(C3)-INT(LOG(C3)))*100),E24_s:E24_f,2)-(10^(LOG(C3)-INT(LOG(C3)))*100),VLOOKUP((10^(LOG(C3)-INT(LOG(C3)))*100),E24_s:E24_f,1),VLOOKUP((10^(LOG(C3)-INT(LOG(C3)))*100),E24_s:E24_f,2)))*10^INT(LOG(C3))/100</f>
        <v>100</v>
      </c>
      <c r="E7" s="111">
        <v>330</v>
      </c>
      <c r="F7" s="110">
        <v>470</v>
      </c>
      <c r="G7" s="113">
        <v>107</v>
      </c>
      <c r="H7" s="112">
        <v>110</v>
      </c>
      <c r="J7" s="124">
        <v>1</v>
      </c>
      <c r="K7" s="124">
        <v>1.2</v>
      </c>
      <c r="L7" s="125">
        <f>IF((10^(LOG(K3)-INT(LOG(K3))))-VLOOKUP((10^(LOG(K3)-INT(LOG(K3)))),c_s1:C_f1,1)&lt;VLOOKUP((10^(LOG(K3)-INT(LOG(K3)))),c_s1:C_f1,2)-(10^(LOG(K3)-INT(LOG(K3)))),VLOOKUP((10^(LOG(K3)-INT(LOG(K3)))),c_s1:C_f1,1),VLOOKUP((10^(LOG(K3)-INT(LOG(K3)))),c_s1:C_f1,2))</f>
        <v>3.9</v>
      </c>
      <c r="N7" s="101"/>
      <c r="O7" s="101"/>
      <c r="P7" s="101"/>
      <c r="Q7" s="101"/>
    </row>
    <row r="8" spans="2:17" ht="13.5" thickBot="1">
      <c r="B8" s="121" t="s">
        <v>132</v>
      </c>
      <c r="C8" s="122">
        <f>(IF((10^(LOG(C3)-INT(LOG(C3)))*100)-VLOOKUP((10^(LOG(C3)-INT(LOG(C3)))*100),E48_s:E48_f,1)&lt;VLOOKUP((10^(LOG(C3)-INT(LOG(C3)))*100),E48_s:E48_f,2)-(10^(LOG(C3)-INT(LOG(C3)))*100),VLOOKUP((10^(LOG(C3)-INT(LOG(C3)))*100),E48_s:E48_f,1),VLOOKUP((10^(LOG(C3)-INT(LOG(C3)))*100),E48_s:E48_f,2)))*10^INT(LOG(C3))/100</f>
        <v>100</v>
      </c>
      <c r="D8" s="104"/>
      <c r="E8" s="110">
        <v>470</v>
      </c>
      <c r="F8" s="111">
        <v>680</v>
      </c>
      <c r="G8" s="112">
        <v>110</v>
      </c>
      <c r="H8" s="113">
        <v>113</v>
      </c>
      <c r="J8" s="124">
        <v>1.2</v>
      </c>
      <c r="K8" s="124">
        <v>1.5</v>
      </c>
      <c r="L8" s="126"/>
      <c r="M8" s="101"/>
      <c r="N8" s="101"/>
      <c r="O8" s="101"/>
      <c r="P8" s="101"/>
      <c r="Q8" s="101"/>
    </row>
    <row r="9" spans="2:17" ht="13.5" thickBot="1">
      <c r="B9" s="127" t="s">
        <v>133</v>
      </c>
      <c r="C9" s="128">
        <f>(IF((10^(LOG(C3)-INT(LOG(C3)))*100)-VLOOKUP((10^(LOG(C3)-INT(LOG(C3)))*100),E96_s:E96_f,1)&lt;VLOOKUP((10^(LOG(C3)-INT(LOG(C3)))*100),E96_s:E96_f,2)-(10^(LOG(C3)-INT(LOG(C3)))*100),VLOOKUP((10^(LOG(C3)-INT(LOG(C3)))*100),E96_s:E96_f,1),VLOOKUP((10^(LOG(C3)-INT(LOG(C3)))*100),E96_s:E96_f,2)))*10^INT(LOG(C3))/100</f>
        <v>100</v>
      </c>
      <c r="D9" s="98"/>
      <c r="E9" s="111">
        <v>680</v>
      </c>
      <c r="F9" s="111">
        <v>1000</v>
      </c>
      <c r="G9" s="113">
        <v>113</v>
      </c>
      <c r="H9" s="112">
        <v>115</v>
      </c>
      <c r="J9" s="124">
        <v>1.5</v>
      </c>
      <c r="K9" s="124">
        <v>1.8</v>
      </c>
      <c r="L9" s="126"/>
      <c r="N9" s="101"/>
      <c r="O9" s="101"/>
      <c r="P9" s="101"/>
      <c r="Q9" s="101"/>
    </row>
    <row r="10" spans="2:17" ht="13.5" thickBot="1">
      <c r="B10" s="104"/>
      <c r="C10" s="104"/>
      <c r="D10" s="104"/>
      <c r="E10" s="247" t="s">
        <v>134</v>
      </c>
      <c r="F10" s="248"/>
      <c r="G10" s="112">
        <v>115</v>
      </c>
      <c r="H10" s="113">
        <v>118</v>
      </c>
      <c r="J10" s="124">
        <v>1.8</v>
      </c>
      <c r="K10" s="124">
        <v>2.2</v>
      </c>
      <c r="L10" s="98"/>
      <c r="N10" s="101"/>
      <c r="O10" s="101"/>
      <c r="P10" s="101"/>
      <c r="Q10" s="101"/>
    </row>
    <row r="11" spans="5:17" ht="13.5" thickBot="1">
      <c r="E11" s="130">
        <v>100</v>
      </c>
      <c r="F11" s="131">
        <v>120</v>
      </c>
      <c r="G11" s="113">
        <v>118</v>
      </c>
      <c r="H11" s="112">
        <v>121</v>
      </c>
      <c r="J11" s="124">
        <v>2.2</v>
      </c>
      <c r="K11" s="124">
        <v>2.7</v>
      </c>
      <c r="L11" s="98"/>
      <c r="N11" s="101"/>
      <c r="O11" s="101"/>
      <c r="P11" s="101"/>
      <c r="Q11" s="101"/>
    </row>
    <row r="12" spans="5:17" ht="13.5" thickBot="1">
      <c r="E12" s="131">
        <v>120</v>
      </c>
      <c r="F12" s="131">
        <v>150</v>
      </c>
      <c r="G12" s="112">
        <v>121</v>
      </c>
      <c r="H12" s="113">
        <v>124</v>
      </c>
      <c r="J12" s="124">
        <v>2.7</v>
      </c>
      <c r="K12" s="124">
        <v>3.3</v>
      </c>
      <c r="L12" s="98"/>
      <c r="N12" s="101"/>
      <c r="O12" s="101"/>
      <c r="P12" s="101"/>
      <c r="Q12" s="101"/>
    </row>
    <row r="13" spans="5:17" ht="13.5" thickBot="1">
      <c r="E13" s="131">
        <v>150</v>
      </c>
      <c r="F13" s="131">
        <v>180</v>
      </c>
      <c r="G13" s="113">
        <v>124</v>
      </c>
      <c r="H13" s="112">
        <v>127</v>
      </c>
      <c r="J13" s="124">
        <v>3.3</v>
      </c>
      <c r="K13" s="124">
        <v>3.9</v>
      </c>
      <c r="L13" s="98"/>
      <c r="N13" s="101"/>
      <c r="O13" s="101"/>
      <c r="P13" s="101"/>
      <c r="Q13" s="101"/>
    </row>
    <row r="14" spans="1:17" ht="13.5" thickBot="1">
      <c r="A14" s="104"/>
      <c r="B14" s="104"/>
      <c r="C14" s="104"/>
      <c r="D14" s="104"/>
      <c r="E14" s="131">
        <v>180</v>
      </c>
      <c r="F14" s="130">
        <v>220</v>
      </c>
      <c r="G14" s="112">
        <v>127</v>
      </c>
      <c r="H14" s="113">
        <v>130</v>
      </c>
      <c r="J14" s="124">
        <v>3.9</v>
      </c>
      <c r="K14" s="124">
        <v>4.7</v>
      </c>
      <c r="L14" s="98"/>
      <c r="N14" s="101"/>
      <c r="O14" s="101"/>
      <c r="P14" s="101"/>
      <c r="Q14" s="101"/>
    </row>
    <row r="15" spans="1:17" ht="13.5" thickBot="1">
      <c r="A15" s="104"/>
      <c r="B15" s="104"/>
      <c r="C15" s="104"/>
      <c r="D15" s="132"/>
      <c r="E15" s="130">
        <v>220</v>
      </c>
      <c r="F15" s="131">
        <v>270</v>
      </c>
      <c r="G15" s="113">
        <v>130</v>
      </c>
      <c r="H15" s="112">
        <v>133</v>
      </c>
      <c r="J15" s="124">
        <v>4.7</v>
      </c>
      <c r="K15" s="124">
        <v>5.6</v>
      </c>
      <c r="L15" s="98"/>
      <c r="N15" s="101"/>
      <c r="O15" s="101"/>
      <c r="P15" s="101"/>
      <c r="Q15" s="101"/>
    </row>
    <row r="16" spans="1:17" ht="13.5" thickBot="1">
      <c r="A16" s="133"/>
      <c r="B16" s="134"/>
      <c r="C16" s="104"/>
      <c r="D16" s="135"/>
      <c r="E16" s="131">
        <v>270</v>
      </c>
      <c r="F16" s="131">
        <v>330</v>
      </c>
      <c r="G16" s="112">
        <v>133</v>
      </c>
      <c r="H16" s="113">
        <v>137</v>
      </c>
      <c r="J16" s="124">
        <v>5.6</v>
      </c>
      <c r="K16" s="124">
        <v>6.8</v>
      </c>
      <c r="L16" s="98"/>
      <c r="N16" s="101"/>
      <c r="O16" s="101"/>
      <c r="P16" s="101"/>
      <c r="Q16" s="101"/>
    </row>
    <row r="17" spans="1:17" ht="13.5" thickBot="1">
      <c r="A17" s="133"/>
      <c r="B17" s="134"/>
      <c r="C17" s="104"/>
      <c r="D17" s="135"/>
      <c r="E17" s="131">
        <v>330</v>
      </c>
      <c r="F17" s="131">
        <v>390</v>
      </c>
      <c r="G17" s="113">
        <v>137</v>
      </c>
      <c r="H17" s="112">
        <v>140</v>
      </c>
      <c r="J17" s="124">
        <v>6.8</v>
      </c>
      <c r="K17" s="124">
        <v>8.2</v>
      </c>
      <c r="L17" s="98"/>
      <c r="N17" s="101"/>
      <c r="O17" s="101"/>
      <c r="P17" s="101"/>
      <c r="Q17" s="101"/>
    </row>
    <row r="18" spans="1:17" ht="13.5" thickBot="1">
      <c r="A18" s="133"/>
      <c r="B18" s="134"/>
      <c r="C18" s="104"/>
      <c r="D18" s="135"/>
      <c r="E18" s="131">
        <v>390</v>
      </c>
      <c r="F18" s="130">
        <v>470</v>
      </c>
      <c r="G18" s="112">
        <v>140</v>
      </c>
      <c r="H18" s="113">
        <v>143</v>
      </c>
      <c r="J18" s="124">
        <v>8.2</v>
      </c>
      <c r="K18" s="124">
        <v>10</v>
      </c>
      <c r="L18" s="98"/>
      <c r="M18" s="101"/>
      <c r="N18" s="101"/>
      <c r="O18" s="101"/>
      <c r="P18" s="101"/>
      <c r="Q18" s="101"/>
    </row>
    <row r="19" spans="1:17" ht="13.5" thickBot="1">
      <c r="A19" s="133"/>
      <c r="B19" s="134"/>
      <c r="C19" s="104"/>
      <c r="D19" s="135"/>
      <c r="E19" s="130">
        <v>470</v>
      </c>
      <c r="F19" s="131">
        <v>560</v>
      </c>
      <c r="G19" s="113">
        <v>143</v>
      </c>
      <c r="H19" s="112">
        <v>147</v>
      </c>
      <c r="J19" s="123" t="s">
        <v>135</v>
      </c>
      <c r="K19" s="124"/>
      <c r="L19" s="124"/>
      <c r="M19" s="101"/>
      <c r="N19" s="101"/>
      <c r="O19" s="101"/>
      <c r="P19" s="101"/>
      <c r="Q19" s="101"/>
    </row>
    <row r="20" spans="1:17" ht="13.5" thickBot="1">
      <c r="A20" s="133"/>
      <c r="B20" s="134"/>
      <c r="C20" s="104"/>
      <c r="D20" s="135"/>
      <c r="E20" s="131">
        <v>560</v>
      </c>
      <c r="F20" s="131">
        <v>680</v>
      </c>
      <c r="G20" s="112">
        <v>147</v>
      </c>
      <c r="H20" s="113">
        <v>150</v>
      </c>
      <c r="J20" s="124">
        <v>1</v>
      </c>
      <c r="K20" s="124">
        <v>1.5</v>
      </c>
      <c r="L20" s="125">
        <f>IF((10^(LOG(K3)-INT(LOG(K3))))-VLOOKUP((10^(LOG(K3)-INT(LOG(K3)))),C_s2:C_f2,1)&lt;VLOOKUP((10^(LOG(K3)-INT(LOG(K3)))),C_s2:C_f2,2)-(10^(LOG(K3)-INT(LOG(K3)))),VLOOKUP((10^(LOG(K3)-INT(LOG(K3)))),C_s2:C_f2,1),VLOOKUP((10^(LOG(K3)-INT(LOG(K3)))),C_s2:C_f2,2))</f>
        <v>3.3</v>
      </c>
      <c r="M20" s="101"/>
      <c r="N20" s="101"/>
      <c r="O20" s="101"/>
      <c r="P20" s="101"/>
      <c r="Q20" s="101"/>
    </row>
    <row r="21" spans="1:17" ht="13.5" thickBot="1">
      <c r="A21" s="133"/>
      <c r="B21" s="134"/>
      <c r="C21" s="104"/>
      <c r="D21" s="135"/>
      <c r="E21" s="129">
        <v>680</v>
      </c>
      <c r="F21" s="131">
        <v>820</v>
      </c>
      <c r="G21" s="113">
        <v>150</v>
      </c>
      <c r="H21" s="112">
        <v>154</v>
      </c>
      <c r="J21" s="124">
        <v>1.5</v>
      </c>
      <c r="K21" s="124">
        <v>2.2</v>
      </c>
      <c r="M21" s="101"/>
      <c r="N21" s="101"/>
      <c r="O21" s="101"/>
      <c r="P21" s="101"/>
      <c r="Q21" s="101"/>
    </row>
    <row r="22" spans="1:17" ht="13.5" thickBot="1">
      <c r="A22" s="133"/>
      <c r="B22" s="134"/>
      <c r="C22" s="104"/>
      <c r="D22" s="135"/>
      <c r="E22" s="129">
        <v>820</v>
      </c>
      <c r="F22" s="131">
        <v>1000</v>
      </c>
      <c r="G22" s="112">
        <v>154</v>
      </c>
      <c r="H22" s="113">
        <v>158</v>
      </c>
      <c r="J22" s="124">
        <v>2.2</v>
      </c>
      <c r="K22" s="124">
        <v>3.3</v>
      </c>
      <c r="L22" s="125"/>
      <c r="M22" s="101"/>
      <c r="N22" s="101"/>
      <c r="O22" s="101"/>
      <c r="P22" s="101"/>
      <c r="Q22" s="101"/>
    </row>
    <row r="23" spans="1:17" ht="13.5" thickBot="1">
      <c r="A23" s="133"/>
      <c r="B23" s="134"/>
      <c r="C23" s="104"/>
      <c r="D23" s="135"/>
      <c r="E23" s="249" t="s">
        <v>136</v>
      </c>
      <c r="F23" s="250"/>
      <c r="G23" s="113">
        <v>158</v>
      </c>
      <c r="H23" s="112">
        <v>162</v>
      </c>
      <c r="J23" s="124">
        <v>3.3</v>
      </c>
      <c r="K23" s="124">
        <v>4.7</v>
      </c>
      <c r="L23" s="125"/>
      <c r="M23" s="101"/>
      <c r="N23" s="101"/>
      <c r="O23" s="101"/>
      <c r="P23" s="101"/>
      <c r="Q23" s="101"/>
    </row>
    <row r="24" spans="1:17" ht="13.5" thickBot="1">
      <c r="A24" s="133"/>
      <c r="B24" s="134"/>
      <c r="C24" s="104"/>
      <c r="D24" s="135"/>
      <c r="E24" s="137">
        <v>100</v>
      </c>
      <c r="F24" s="138">
        <v>110</v>
      </c>
      <c r="G24" s="112">
        <v>162</v>
      </c>
      <c r="H24" s="113">
        <v>165</v>
      </c>
      <c r="J24" s="124">
        <v>4.7</v>
      </c>
      <c r="K24" s="124">
        <v>6.8</v>
      </c>
      <c r="L24" s="98"/>
      <c r="M24" s="101"/>
      <c r="N24" s="101"/>
      <c r="O24" s="101"/>
      <c r="P24" s="101"/>
      <c r="Q24" s="101"/>
    </row>
    <row r="25" spans="1:17" ht="13.5" thickBot="1">
      <c r="A25" s="133"/>
      <c r="B25" s="134"/>
      <c r="C25" s="104"/>
      <c r="D25" s="135"/>
      <c r="E25" s="138">
        <v>110</v>
      </c>
      <c r="F25" s="138">
        <v>120</v>
      </c>
      <c r="G25" s="113">
        <v>165</v>
      </c>
      <c r="H25" s="112">
        <v>169</v>
      </c>
      <c r="J25" s="124">
        <v>6.8</v>
      </c>
      <c r="K25" s="124">
        <v>10</v>
      </c>
      <c r="L25" s="98"/>
      <c r="M25" s="101"/>
      <c r="N25" s="101"/>
      <c r="O25" s="101"/>
      <c r="P25" s="101"/>
      <c r="Q25" s="101"/>
    </row>
    <row r="26" spans="1:17" ht="13.5" thickBot="1">
      <c r="A26" s="133"/>
      <c r="B26" s="134"/>
      <c r="C26" s="104"/>
      <c r="D26" s="135"/>
      <c r="E26" s="138">
        <v>120</v>
      </c>
      <c r="F26" s="138">
        <v>130</v>
      </c>
      <c r="G26" s="112">
        <v>169</v>
      </c>
      <c r="H26" s="113">
        <v>174</v>
      </c>
      <c r="J26" s="139"/>
      <c r="K26" s="139"/>
      <c r="L26" s="139"/>
      <c r="M26" s="101"/>
      <c r="N26" s="101"/>
      <c r="O26" s="101"/>
      <c r="P26" s="101"/>
      <c r="Q26" s="101"/>
    </row>
    <row r="27" spans="1:17" ht="13.5" thickBot="1">
      <c r="A27" s="133"/>
      <c r="B27" s="134"/>
      <c r="C27" s="104"/>
      <c r="D27" s="135"/>
      <c r="E27" s="138">
        <v>130</v>
      </c>
      <c r="F27" s="138">
        <v>150</v>
      </c>
      <c r="G27" s="113">
        <v>174</v>
      </c>
      <c r="H27" s="112">
        <v>178</v>
      </c>
      <c r="J27" s="139"/>
      <c r="K27" s="139"/>
      <c r="L27" s="139"/>
      <c r="M27" s="101"/>
      <c r="N27" s="101"/>
      <c r="O27" s="101"/>
      <c r="P27" s="101"/>
      <c r="Q27" s="101"/>
    </row>
    <row r="28" spans="1:17" ht="13.5" thickBot="1">
      <c r="A28" s="133"/>
      <c r="B28" s="134"/>
      <c r="C28" s="104"/>
      <c r="D28" s="135"/>
      <c r="E28" s="138">
        <v>150</v>
      </c>
      <c r="F28" s="138">
        <v>160</v>
      </c>
      <c r="G28" s="112">
        <v>178</v>
      </c>
      <c r="H28" s="113">
        <v>182</v>
      </c>
      <c r="I28" s="140"/>
      <c r="J28" s="139"/>
      <c r="K28" s="139"/>
      <c r="L28" s="139"/>
      <c r="M28" s="101"/>
      <c r="N28" s="101"/>
      <c r="O28" s="101"/>
      <c r="P28" s="101"/>
      <c r="Q28" s="101"/>
    </row>
    <row r="29" spans="1:17" ht="13.5" thickBot="1">
      <c r="A29" s="133"/>
      <c r="B29" s="134"/>
      <c r="C29" s="104"/>
      <c r="D29" s="135"/>
      <c r="E29" s="138">
        <v>160</v>
      </c>
      <c r="F29" s="138">
        <v>180</v>
      </c>
      <c r="G29" s="113">
        <v>182</v>
      </c>
      <c r="H29" s="112">
        <v>187</v>
      </c>
      <c r="I29" s="140"/>
      <c r="J29" s="139"/>
      <c r="K29" s="139"/>
      <c r="L29" s="139"/>
      <c r="M29" s="101"/>
      <c r="N29" s="101"/>
      <c r="O29" s="101"/>
      <c r="P29" s="101"/>
      <c r="Q29" s="101"/>
    </row>
    <row r="30" spans="1:17" ht="13.5" thickBot="1">
      <c r="A30" s="133"/>
      <c r="B30" s="134"/>
      <c r="C30" s="104"/>
      <c r="D30" s="135"/>
      <c r="E30" s="138">
        <v>180</v>
      </c>
      <c r="F30" s="141">
        <v>200</v>
      </c>
      <c r="G30" s="112">
        <v>187</v>
      </c>
      <c r="H30" s="113">
        <v>191</v>
      </c>
      <c r="I30" s="140"/>
      <c r="J30" s="139"/>
      <c r="K30" s="139"/>
      <c r="L30" s="139"/>
      <c r="M30" s="101"/>
      <c r="N30" s="101"/>
      <c r="O30" s="101"/>
      <c r="P30" s="101"/>
      <c r="Q30" s="101"/>
    </row>
    <row r="31" spans="1:17" ht="13.5" thickBot="1">
      <c r="A31" s="133"/>
      <c r="B31" s="134"/>
      <c r="C31" s="104"/>
      <c r="D31" s="135"/>
      <c r="E31" s="141">
        <v>200</v>
      </c>
      <c r="F31" s="137">
        <v>220</v>
      </c>
      <c r="G31" s="113">
        <v>191</v>
      </c>
      <c r="H31" s="112">
        <v>196</v>
      </c>
      <c r="I31" s="140"/>
      <c r="J31" s="139"/>
      <c r="K31" s="139"/>
      <c r="L31" s="139"/>
      <c r="M31" s="101"/>
      <c r="N31" s="101"/>
      <c r="O31" s="101"/>
      <c r="P31" s="101"/>
      <c r="Q31" s="101"/>
    </row>
    <row r="32" spans="1:17" ht="13.5" thickBot="1">
      <c r="A32" s="133"/>
      <c r="B32" s="134"/>
      <c r="C32" s="104"/>
      <c r="D32" s="135"/>
      <c r="E32" s="137">
        <v>220</v>
      </c>
      <c r="F32" s="138">
        <v>240</v>
      </c>
      <c r="G32" s="112">
        <v>196</v>
      </c>
      <c r="H32" s="113">
        <v>200</v>
      </c>
      <c r="I32" s="140"/>
      <c r="J32" s="139"/>
      <c r="K32" s="139"/>
      <c r="L32" s="139"/>
      <c r="M32" s="101"/>
      <c r="N32" s="101"/>
      <c r="O32" s="101"/>
      <c r="P32" s="101"/>
      <c r="Q32" s="101"/>
    </row>
    <row r="33" spans="1:17" ht="13.5" thickBot="1">
      <c r="A33" s="133"/>
      <c r="B33" s="134"/>
      <c r="C33" s="104"/>
      <c r="D33" s="135"/>
      <c r="E33" s="138">
        <v>240</v>
      </c>
      <c r="F33" s="138">
        <v>270</v>
      </c>
      <c r="G33" s="113">
        <v>200</v>
      </c>
      <c r="H33" s="112">
        <v>205</v>
      </c>
      <c r="I33" s="140"/>
      <c r="J33" s="139"/>
      <c r="K33" s="139"/>
      <c r="L33" s="139"/>
      <c r="M33" s="101"/>
      <c r="N33" s="101"/>
      <c r="O33" s="101"/>
      <c r="P33" s="101"/>
      <c r="Q33" s="101"/>
    </row>
    <row r="34" spans="1:12" s="143" customFormat="1" ht="13.5" thickBot="1">
      <c r="A34" s="133"/>
      <c r="B34" s="134"/>
      <c r="C34" s="104"/>
      <c r="D34" s="135"/>
      <c r="E34" s="138">
        <v>270</v>
      </c>
      <c r="F34" s="138">
        <v>300</v>
      </c>
      <c r="G34" s="112">
        <v>205</v>
      </c>
      <c r="H34" s="113">
        <v>210</v>
      </c>
      <c r="I34" s="142"/>
      <c r="J34" s="139"/>
      <c r="K34" s="139"/>
      <c r="L34" s="139"/>
    </row>
    <row r="35" spans="1:12" s="143" customFormat="1" ht="13.5" thickBot="1">
      <c r="A35" s="144"/>
      <c r="B35" s="144"/>
      <c r="C35" s="144"/>
      <c r="D35" s="144"/>
      <c r="E35" s="138">
        <v>300</v>
      </c>
      <c r="F35" s="138">
        <v>330</v>
      </c>
      <c r="G35" s="113">
        <v>210</v>
      </c>
      <c r="H35" s="112">
        <v>215</v>
      </c>
      <c r="I35" s="99"/>
      <c r="J35" s="139"/>
      <c r="K35" s="139"/>
      <c r="L35" s="139"/>
    </row>
    <row r="36" spans="5:12" s="143" customFormat="1" ht="13.5" thickBot="1">
      <c r="E36" s="138">
        <v>330</v>
      </c>
      <c r="F36" s="138">
        <v>360</v>
      </c>
      <c r="G36" s="112">
        <v>215</v>
      </c>
      <c r="H36" s="113">
        <v>221</v>
      </c>
      <c r="I36" s="99"/>
      <c r="J36" s="139"/>
      <c r="K36" s="139"/>
      <c r="L36" s="139"/>
    </row>
    <row r="37" spans="5:12" s="143" customFormat="1" ht="13.5" thickBot="1">
      <c r="E37" s="138">
        <v>360</v>
      </c>
      <c r="F37" s="138">
        <v>390</v>
      </c>
      <c r="G37" s="113">
        <v>221</v>
      </c>
      <c r="H37" s="112">
        <v>226</v>
      </c>
      <c r="I37" s="99"/>
      <c r="J37" s="139"/>
      <c r="K37" s="139"/>
      <c r="L37" s="139"/>
    </row>
    <row r="38" spans="5:12" s="143" customFormat="1" ht="13.5" thickBot="1">
      <c r="E38" s="138">
        <v>390</v>
      </c>
      <c r="F38" s="141">
        <v>430</v>
      </c>
      <c r="G38" s="112">
        <v>226</v>
      </c>
      <c r="H38" s="113">
        <v>232</v>
      </c>
      <c r="I38" s="140"/>
      <c r="J38" s="139"/>
      <c r="K38" s="139"/>
      <c r="L38" s="139"/>
    </row>
    <row r="39" spans="5:17" ht="13.5" thickBot="1">
      <c r="E39" s="141">
        <v>430</v>
      </c>
      <c r="F39" s="137">
        <v>470</v>
      </c>
      <c r="G39" s="113">
        <v>232</v>
      </c>
      <c r="H39" s="112">
        <v>237</v>
      </c>
      <c r="I39" s="140"/>
      <c r="J39" s="139"/>
      <c r="K39" s="139"/>
      <c r="L39" s="139"/>
      <c r="M39" s="101"/>
      <c r="N39" s="101"/>
      <c r="O39" s="101"/>
      <c r="P39" s="101"/>
      <c r="Q39" s="101"/>
    </row>
    <row r="40" spans="5:17" ht="13.5" thickBot="1">
      <c r="E40" s="137">
        <v>470</v>
      </c>
      <c r="F40" s="138">
        <v>510</v>
      </c>
      <c r="G40" s="112">
        <v>237</v>
      </c>
      <c r="H40" s="113">
        <v>243</v>
      </c>
      <c r="I40" s="140"/>
      <c r="J40" s="139"/>
      <c r="K40" s="139"/>
      <c r="L40" s="139"/>
      <c r="M40" s="101"/>
      <c r="N40" s="101"/>
      <c r="O40" s="101"/>
      <c r="P40" s="101"/>
      <c r="Q40" s="101"/>
    </row>
    <row r="41" spans="5:17" ht="13.5" thickBot="1">
      <c r="E41" s="138">
        <v>510</v>
      </c>
      <c r="F41" s="138">
        <v>560</v>
      </c>
      <c r="G41" s="113">
        <v>243</v>
      </c>
      <c r="H41" s="112">
        <v>249</v>
      </c>
      <c r="I41" s="140"/>
      <c r="J41" s="139"/>
      <c r="K41" s="139"/>
      <c r="L41" s="139"/>
      <c r="M41" s="101"/>
      <c r="N41" s="101"/>
      <c r="O41" s="101"/>
      <c r="P41" s="101"/>
      <c r="Q41" s="101"/>
    </row>
    <row r="42" spans="5:17" ht="13.5" thickBot="1">
      <c r="E42" s="138">
        <v>560</v>
      </c>
      <c r="F42" s="138">
        <v>620</v>
      </c>
      <c r="G42" s="112">
        <v>249</v>
      </c>
      <c r="H42" s="113">
        <v>255</v>
      </c>
      <c r="I42" s="140"/>
      <c r="J42" s="139"/>
      <c r="K42" s="139"/>
      <c r="L42" s="139"/>
      <c r="M42" s="101"/>
      <c r="N42" s="101"/>
      <c r="O42" s="101"/>
      <c r="P42" s="101"/>
      <c r="Q42" s="101"/>
    </row>
    <row r="43" spans="5:17" ht="13.5" thickBot="1">
      <c r="E43" s="138">
        <v>620</v>
      </c>
      <c r="F43" s="138">
        <v>680</v>
      </c>
      <c r="G43" s="113">
        <v>255</v>
      </c>
      <c r="H43" s="112">
        <v>261</v>
      </c>
      <c r="I43" s="140"/>
      <c r="J43" s="139"/>
      <c r="K43" s="139"/>
      <c r="L43" s="139"/>
      <c r="M43" s="101"/>
      <c r="N43" s="101"/>
      <c r="O43" s="101"/>
      <c r="P43" s="101"/>
      <c r="Q43" s="101"/>
    </row>
    <row r="44" spans="5:17" ht="13.5" thickBot="1">
      <c r="E44" s="138">
        <v>680</v>
      </c>
      <c r="F44" s="138">
        <v>750</v>
      </c>
      <c r="G44" s="112">
        <v>261</v>
      </c>
      <c r="H44" s="113">
        <v>267</v>
      </c>
      <c r="I44" s="140"/>
      <c r="J44" s="139"/>
      <c r="K44" s="139"/>
      <c r="L44" s="139"/>
      <c r="M44" s="101"/>
      <c r="N44" s="101"/>
      <c r="O44" s="101"/>
      <c r="P44" s="101"/>
      <c r="Q44" s="101"/>
    </row>
    <row r="45" spans="5:17" ht="13.5" thickBot="1">
      <c r="E45" s="138">
        <v>750</v>
      </c>
      <c r="F45" s="138">
        <v>820</v>
      </c>
      <c r="G45" s="113">
        <v>267</v>
      </c>
      <c r="H45" s="112">
        <v>274</v>
      </c>
      <c r="J45" s="139"/>
      <c r="K45" s="139"/>
      <c r="L45" s="139"/>
      <c r="M45" s="101"/>
      <c r="N45" s="101"/>
      <c r="O45" s="101"/>
      <c r="P45" s="101"/>
      <c r="Q45" s="101"/>
    </row>
    <row r="46" spans="5:17" ht="13.5" thickBot="1">
      <c r="E46" s="138">
        <v>820</v>
      </c>
      <c r="F46" s="141">
        <v>910</v>
      </c>
      <c r="G46" s="112">
        <v>274</v>
      </c>
      <c r="H46" s="113">
        <v>280</v>
      </c>
      <c r="J46" s="139"/>
      <c r="K46" s="139"/>
      <c r="L46" s="139"/>
      <c r="M46" s="101"/>
      <c r="N46" s="101"/>
      <c r="O46" s="101"/>
      <c r="P46" s="101"/>
      <c r="Q46" s="101"/>
    </row>
    <row r="47" spans="5:17" ht="13.5" thickBot="1">
      <c r="E47" s="141">
        <v>910</v>
      </c>
      <c r="F47" s="141">
        <v>1000</v>
      </c>
      <c r="G47" s="113">
        <v>280</v>
      </c>
      <c r="H47" s="112">
        <v>287</v>
      </c>
      <c r="J47" s="139"/>
      <c r="K47" s="139"/>
      <c r="L47" s="139"/>
      <c r="M47" s="101"/>
      <c r="N47" s="101"/>
      <c r="O47" s="101"/>
      <c r="P47" s="101"/>
      <c r="Q47" s="101"/>
    </row>
    <row r="48" spans="5:17" ht="13.5" thickBot="1">
      <c r="E48" s="251" t="s">
        <v>137</v>
      </c>
      <c r="F48" s="251"/>
      <c r="G48" s="112">
        <v>287</v>
      </c>
      <c r="H48" s="113">
        <v>294</v>
      </c>
      <c r="J48" s="139"/>
      <c r="K48" s="139"/>
      <c r="L48" s="139"/>
      <c r="M48" s="101"/>
      <c r="N48" s="101"/>
      <c r="O48" s="101"/>
      <c r="P48" s="101"/>
      <c r="Q48" s="101"/>
    </row>
    <row r="49" spans="5:17" ht="13.5" thickBot="1">
      <c r="E49" s="145">
        <v>100</v>
      </c>
      <c r="F49" s="145">
        <v>105</v>
      </c>
      <c r="G49" s="113">
        <v>294</v>
      </c>
      <c r="H49" s="112">
        <v>301</v>
      </c>
      <c r="J49" s="139"/>
      <c r="K49" s="139"/>
      <c r="L49" s="139"/>
      <c r="M49" s="101"/>
      <c r="N49" s="101"/>
      <c r="O49" s="101"/>
      <c r="P49" s="101"/>
      <c r="Q49" s="101"/>
    </row>
    <row r="50" spans="1:17" ht="13.5" thickBot="1">
      <c r="A50" s="101"/>
      <c r="B50" s="101"/>
      <c r="C50" s="101"/>
      <c r="D50" s="101"/>
      <c r="E50" s="145">
        <v>105</v>
      </c>
      <c r="F50" s="145">
        <v>110</v>
      </c>
      <c r="G50" s="112">
        <v>301</v>
      </c>
      <c r="H50" s="113">
        <v>309</v>
      </c>
      <c r="J50" s="139"/>
      <c r="K50" s="139"/>
      <c r="L50" s="139"/>
      <c r="M50" s="101"/>
      <c r="N50" s="101"/>
      <c r="O50" s="101"/>
      <c r="P50" s="101"/>
      <c r="Q50" s="101"/>
    </row>
    <row r="51" spans="1:17" ht="13.5" thickBot="1">
      <c r="A51" s="101"/>
      <c r="B51" s="101"/>
      <c r="C51" s="101"/>
      <c r="D51" s="101"/>
      <c r="E51" s="145">
        <v>110</v>
      </c>
      <c r="F51" s="145">
        <v>115</v>
      </c>
      <c r="G51" s="113">
        <v>309</v>
      </c>
      <c r="H51" s="112">
        <v>316</v>
      </c>
      <c r="J51" s="139"/>
      <c r="K51" s="139"/>
      <c r="L51" s="139"/>
      <c r="M51" s="101"/>
      <c r="N51" s="101"/>
      <c r="O51" s="101"/>
      <c r="P51" s="101"/>
      <c r="Q51" s="101"/>
    </row>
    <row r="52" spans="1:17" ht="13.5" thickBot="1">
      <c r="A52" s="101"/>
      <c r="B52" s="101"/>
      <c r="C52" s="101"/>
      <c r="D52" s="101"/>
      <c r="E52" s="145">
        <v>115</v>
      </c>
      <c r="F52" s="145">
        <v>121</v>
      </c>
      <c r="G52" s="112">
        <v>316</v>
      </c>
      <c r="H52" s="113">
        <v>324</v>
      </c>
      <c r="J52" s="139"/>
      <c r="K52" s="139"/>
      <c r="L52" s="139"/>
      <c r="M52" s="101"/>
      <c r="N52" s="101"/>
      <c r="O52" s="101"/>
      <c r="P52" s="101"/>
      <c r="Q52" s="101"/>
    </row>
    <row r="53" spans="1:17" ht="13.5" thickBot="1">
      <c r="A53" s="101"/>
      <c r="B53" s="101"/>
      <c r="C53" s="101"/>
      <c r="D53" s="101"/>
      <c r="E53" s="145">
        <v>121</v>
      </c>
      <c r="F53" s="145">
        <v>127</v>
      </c>
      <c r="G53" s="113">
        <v>324</v>
      </c>
      <c r="H53" s="112">
        <v>332</v>
      </c>
      <c r="J53" s="139"/>
      <c r="K53" s="139"/>
      <c r="L53" s="139"/>
      <c r="M53" s="101"/>
      <c r="N53" s="101"/>
      <c r="O53" s="101"/>
      <c r="P53" s="101"/>
      <c r="Q53" s="101"/>
    </row>
    <row r="54" spans="1:17" ht="13.5" thickBot="1">
      <c r="A54" s="101"/>
      <c r="B54" s="101"/>
      <c r="C54" s="101"/>
      <c r="D54" s="101"/>
      <c r="E54" s="145">
        <v>127</v>
      </c>
      <c r="F54" s="145">
        <v>133</v>
      </c>
      <c r="G54" s="112">
        <v>332</v>
      </c>
      <c r="H54" s="113">
        <v>340</v>
      </c>
      <c r="J54" s="139"/>
      <c r="K54" s="139"/>
      <c r="L54" s="139"/>
      <c r="M54" s="101"/>
      <c r="N54" s="101"/>
      <c r="O54" s="101"/>
      <c r="P54" s="101"/>
      <c r="Q54" s="101"/>
    </row>
    <row r="55" spans="1:17" ht="13.5" thickBot="1">
      <c r="A55" s="101"/>
      <c r="B55" s="101"/>
      <c r="C55" s="101"/>
      <c r="D55" s="101"/>
      <c r="E55" s="145">
        <v>133</v>
      </c>
      <c r="F55" s="145">
        <v>140</v>
      </c>
      <c r="G55" s="113">
        <v>340</v>
      </c>
      <c r="H55" s="112">
        <v>348</v>
      </c>
      <c r="J55" s="139"/>
      <c r="K55" s="139"/>
      <c r="L55" s="139"/>
      <c r="M55" s="101"/>
      <c r="N55" s="101"/>
      <c r="O55" s="101"/>
      <c r="P55" s="101"/>
      <c r="Q55" s="101"/>
    </row>
    <row r="56" spans="1:17" ht="13.5" thickBot="1">
      <c r="A56" s="101"/>
      <c r="B56" s="101"/>
      <c r="C56" s="101"/>
      <c r="D56" s="101"/>
      <c r="E56" s="145">
        <v>140</v>
      </c>
      <c r="F56" s="145">
        <v>147</v>
      </c>
      <c r="G56" s="112">
        <v>348</v>
      </c>
      <c r="H56" s="113">
        <v>357</v>
      </c>
      <c r="J56" s="139"/>
      <c r="K56" s="139"/>
      <c r="L56" s="139"/>
      <c r="M56" s="101"/>
      <c r="N56" s="101"/>
      <c r="O56" s="101"/>
      <c r="P56" s="101"/>
      <c r="Q56" s="101"/>
    </row>
    <row r="57" spans="1:17" ht="13.5" thickBot="1">
      <c r="A57" s="101"/>
      <c r="B57" s="101"/>
      <c r="C57" s="101"/>
      <c r="D57" s="101"/>
      <c r="E57" s="145">
        <v>147</v>
      </c>
      <c r="F57" s="145">
        <v>154</v>
      </c>
      <c r="G57" s="113">
        <v>357</v>
      </c>
      <c r="H57" s="112">
        <v>365</v>
      </c>
      <c r="J57" s="139"/>
      <c r="K57" s="139"/>
      <c r="L57" s="139"/>
      <c r="M57" s="101"/>
      <c r="N57" s="101"/>
      <c r="O57" s="101"/>
      <c r="P57" s="101"/>
      <c r="Q57" s="101"/>
    </row>
    <row r="58" spans="1:17" ht="13.5" thickBot="1">
      <c r="A58" s="101"/>
      <c r="B58" s="101"/>
      <c r="C58" s="101"/>
      <c r="D58" s="101"/>
      <c r="E58" s="145">
        <v>154</v>
      </c>
      <c r="F58" s="145">
        <v>162</v>
      </c>
      <c r="G58" s="112">
        <v>365</v>
      </c>
      <c r="H58" s="113">
        <v>374</v>
      </c>
      <c r="J58" s="139"/>
      <c r="K58" s="139"/>
      <c r="L58" s="139"/>
      <c r="M58" s="101"/>
      <c r="N58" s="101"/>
      <c r="O58" s="101"/>
      <c r="P58" s="101"/>
      <c r="Q58" s="101"/>
    </row>
    <row r="59" spans="1:17" ht="13.5" thickBot="1">
      <c r="A59" s="101"/>
      <c r="B59" s="101"/>
      <c r="C59" s="101"/>
      <c r="D59" s="101"/>
      <c r="E59" s="145">
        <v>162</v>
      </c>
      <c r="F59" s="145">
        <v>169</v>
      </c>
      <c r="G59" s="113">
        <v>374</v>
      </c>
      <c r="H59" s="112">
        <v>383</v>
      </c>
      <c r="J59" s="139"/>
      <c r="K59" s="139"/>
      <c r="L59" s="139"/>
      <c r="M59" s="101"/>
      <c r="N59" s="101"/>
      <c r="O59" s="101"/>
      <c r="P59" s="101"/>
      <c r="Q59" s="101"/>
    </row>
    <row r="60" spans="1:17" ht="13.5" thickBot="1">
      <c r="A60" s="101"/>
      <c r="B60" s="101"/>
      <c r="C60" s="101"/>
      <c r="D60" s="101"/>
      <c r="E60" s="145">
        <v>169</v>
      </c>
      <c r="F60" s="145">
        <v>178</v>
      </c>
      <c r="G60" s="112">
        <v>383</v>
      </c>
      <c r="H60" s="113">
        <v>392</v>
      </c>
      <c r="J60" s="139"/>
      <c r="K60" s="139"/>
      <c r="L60" s="139"/>
      <c r="M60" s="101"/>
      <c r="N60" s="101"/>
      <c r="O60" s="101"/>
      <c r="P60" s="101"/>
      <c r="Q60" s="101"/>
    </row>
    <row r="61" spans="1:17" ht="13.5" thickBot="1">
      <c r="A61" s="101"/>
      <c r="B61" s="101"/>
      <c r="C61" s="101"/>
      <c r="D61" s="101"/>
      <c r="E61" s="145">
        <v>178</v>
      </c>
      <c r="F61" s="145">
        <v>187</v>
      </c>
      <c r="G61" s="113">
        <v>392</v>
      </c>
      <c r="H61" s="112">
        <v>402</v>
      </c>
      <c r="J61" s="139"/>
      <c r="K61" s="139"/>
      <c r="L61" s="139"/>
      <c r="M61" s="101"/>
      <c r="N61" s="101"/>
      <c r="O61" s="101"/>
      <c r="P61" s="101"/>
      <c r="Q61" s="101"/>
    </row>
    <row r="62" spans="1:17" ht="13.5" thickBot="1">
      <c r="A62" s="101"/>
      <c r="B62" s="101"/>
      <c r="C62" s="101"/>
      <c r="D62" s="101"/>
      <c r="E62" s="145">
        <v>187</v>
      </c>
      <c r="F62" s="145">
        <v>196</v>
      </c>
      <c r="G62" s="112">
        <v>402</v>
      </c>
      <c r="H62" s="113">
        <v>412</v>
      </c>
      <c r="J62" s="139"/>
      <c r="K62" s="139"/>
      <c r="L62" s="139"/>
      <c r="M62" s="101"/>
      <c r="N62" s="101"/>
      <c r="O62" s="101"/>
      <c r="P62" s="101"/>
      <c r="Q62" s="101"/>
    </row>
    <row r="63" spans="1:17" ht="13.5" thickBot="1">
      <c r="A63" s="101"/>
      <c r="B63" s="101"/>
      <c r="C63" s="101"/>
      <c r="D63" s="101"/>
      <c r="E63" s="145">
        <v>196</v>
      </c>
      <c r="F63" s="145">
        <v>205</v>
      </c>
      <c r="G63" s="113">
        <v>412</v>
      </c>
      <c r="H63" s="112">
        <v>422</v>
      </c>
      <c r="J63" s="139"/>
      <c r="K63" s="139"/>
      <c r="L63" s="139"/>
      <c r="M63" s="101"/>
      <c r="N63" s="101"/>
      <c r="O63" s="101"/>
      <c r="P63" s="101"/>
      <c r="Q63" s="101"/>
    </row>
    <row r="64" spans="1:17" ht="13.5" thickBot="1">
      <c r="A64" s="101"/>
      <c r="B64" s="101"/>
      <c r="C64" s="101"/>
      <c r="D64" s="101"/>
      <c r="E64" s="145">
        <v>205</v>
      </c>
      <c r="F64" s="145">
        <v>215</v>
      </c>
      <c r="G64" s="112">
        <v>422</v>
      </c>
      <c r="H64" s="113">
        <v>432</v>
      </c>
      <c r="J64" s="139"/>
      <c r="K64" s="139"/>
      <c r="L64" s="139"/>
      <c r="M64" s="101"/>
      <c r="N64" s="101"/>
      <c r="O64" s="101"/>
      <c r="P64" s="101"/>
      <c r="Q64" s="101"/>
    </row>
    <row r="65" spans="1:17" ht="13.5" thickBot="1">
      <c r="A65" s="101"/>
      <c r="B65" s="101"/>
      <c r="C65" s="101"/>
      <c r="D65" s="101"/>
      <c r="E65" s="145">
        <v>215</v>
      </c>
      <c r="F65" s="145">
        <v>226</v>
      </c>
      <c r="G65" s="113">
        <v>432</v>
      </c>
      <c r="H65" s="112">
        <v>442</v>
      </c>
      <c r="J65" s="139"/>
      <c r="K65" s="139"/>
      <c r="L65" s="139"/>
      <c r="M65" s="101"/>
      <c r="N65" s="101"/>
      <c r="O65" s="101"/>
      <c r="P65" s="101"/>
      <c r="Q65" s="101"/>
    </row>
    <row r="66" spans="1:17" ht="13.5" thickBot="1">
      <c r="A66" s="101"/>
      <c r="B66" s="101"/>
      <c r="C66" s="101"/>
      <c r="D66" s="101"/>
      <c r="E66" s="145">
        <v>226</v>
      </c>
      <c r="F66" s="145">
        <v>237</v>
      </c>
      <c r="G66" s="112">
        <v>442</v>
      </c>
      <c r="H66" s="113">
        <v>453</v>
      </c>
      <c r="J66" s="139"/>
      <c r="K66" s="139"/>
      <c r="L66" s="139"/>
      <c r="M66" s="101"/>
      <c r="N66" s="101"/>
      <c r="O66" s="101"/>
      <c r="P66" s="101"/>
      <c r="Q66" s="101"/>
    </row>
    <row r="67" spans="1:17" ht="13.5" thickBot="1">
      <c r="A67" s="101"/>
      <c r="B67" s="101"/>
      <c r="C67" s="101"/>
      <c r="D67" s="101"/>
      <c r="E67" s="145">
        <v>237</v>
      </c>
      <c r="F67" s="145">
        <v>249</v>
      </c>
      <c r="G67" s="113">
        <v>453</v>
      </c>
      <c r="H67" s="112">
        <v>464</v>
      </c>
      <c r="J67" s="139"/>
      <c r="K67" s="139"/>
      <c r="L67" s="139"/>
      <c r="M67" s="101"/>
      <c r="N67" s="101"/>
      <c r="O67" s="101"/>
      <c r="P67" s="101"/>
      <c r="Q67" s="101"/>
    </row>
    <row r="68" spans="1:17" ht="13.5" thickBot="1">
      <c r="A68" s="101"/>
      <c r="B68" s="101"/>
      <c r="C68" s="101"/>
      <c r="D68" s="101"/>
      <c r="E68" s="145">
        <v>249</v>
      </c>
      <c r="F68" s="145">
        <v>261</v>
      </c>
      <c r="G68" s="112">
        <v>464</v>
      </c>
      <c r="H68" s="113">
        <v>475</v>
      </c>
      <c r="J68" s="139"/>
      <c r="K68" s="139"/>
      <c r="L68" s="139"/>
      <c r="M68" s="101"/>
      <c r="N68" s="101"/>
      <c r="O68" s="101"/>
      <c r="P68" s="101"/>
      <c r="Q68" s="101"/>
    </row>
    <row r="69" spans="1:17" ht="13.5" thickBot="1">
      <c r="A69" s="101"/>
      <c r="B69" s="101"/>
      <c r="C69" s="101"/>
      <c r="D69" s="101"/>
      <c r="E69" s="145">
        <v>261</v>
      </c>
      <c r="F69" s="145">
        <v>274</v>
      </c>
      <c r="G69" s="113">
        <v>475</v>
      </c>
      <c r="H69" s="112">
        <v>487</v>
      </c>
      <c r="J69" s="139"/>
      <c r="K69" s="139"/>
      <c r="L69" s="139"/>
      <c r="M69" s="101"/>
      <c r="N69" s="101"/>
      <c r="O69" s="101"/>
      <c r="P69" s="101"/>
      <c r="Q69" s="101"/>
    </row>
    <row r="70" spans="1:17" ht="13.5" thickBot="1">
      <c r="A70" s="101"/>
      <c r="B70" s="101"/>
      <c r="C70" s="101"/>
      <c r="D70" s="101"/>
      <c r="E70" s="145">
        <v>274</v>
      </c>
      <c r="F70" s="145">
        <v>287</v>
      </c>
      <c r="G70" s="112">
        <v>487</v>
      </c>
      <c r="H70" s="113">
        <v>499</v>
      </c>
      <c r="J70" s="139"/>
      <c r="K70" s="139"/>
      <c r="L70" s="139"/>
      <c r="M70" s="101"/>
      <c r="N70" s="101"/>
      <c r="O70" s="101"/>
      <c r="P70" s="101"/>
      <c r="Q70" s="101"/>
    </row>
    <row r="71" spans="1:17" ht="13.5" thickBot="1">
      <c r="A71" s="101"/>
      <c r="B71" s="101"/>
      <c r="C71" s="101"/>
      <c r="D71" s="101"/>
      <c r="E71" s="145">
        <v>287</v>
      </c>
      <c r="F71" s="145">
        <v>301</v>
      </c>
      <c r="G71" s="113">
        <v>499</v>
      </c>
      <c r="H71" s="112">
        <v>511</v>
      </c>
      <c r="J71" s="139"/>
      <c r="K71" s="139"/>
      <c r="L71" s="139"/>
      <c r="M71" s="101"/>
      <c r="N71" s="101"/>
      <c r="O71" s="101"/>
      <c r="P71" s="101"/>
      <c r="Q71" s="101"/>
    </row>
    <row r="72" spans="1:17" ht="13.5" thickBot="1">
      <c r="A72" s="101"/>
      <c r="B72" s="101"/>
      <c r="C72" s="101"/>
      <c r="D72" s="101"/>
      <c r="E72" s="145">
        <v>301</v>
      </c>
      <c r="F72" s="145">
        <v>316</v>
      </c>
      <c r="G72" s="112">
        <v>511</v>
      </c>
      <c r="H72" s="113">
        <v>523</v>
      </c>
      <c r="J72" s="139"/>
      <c r="K72" s="139"/>
      <c r="L72" s="139"/>
      <c r="M72" s="101"/>
      <c r="N72" s="101"/>
      <c r="O72" s="101"/>
      <c r="P72" s="101"/>
      <c r="Q72" s="101"/>
    </row>
    <row r="73" spans="1:17" ht="13.5" thickBot="1">
      <c r="A73" s="101"/>
      <c r="B73" s="101"/>
      <c r="C73" s="101"/>
      <c r="D73" s="101"/>
      <c r="E73" s="145">
        <v>316</v>
      </c>
      <c r="F73" s="145">
        <v>332</v>
      </c>
      <c r="G73" s="113">
        <v>523</v>
      </c>
      <c r="H73" s="112">
        <v>536</v>
      </c>
      <c r="J73" s="139"/>
      <c r="K73" s="139"/>
      <c r="L73" s="139"/>
      <c r="M73" s="101"/>
      <c r="N73" s="101"/>
      <c r="O73" s="101"/>
      <c r="P73" s="101"/>
      <c r="Q73" s="101"/>
    </row>
    <row r="74" spans="1:17" ht="13.5" thickBot="1">
      <c r="A74" s="101"/>
      <c r="B74" s="101"/>
      <c r="C74" s="101"/>
      <c r="D74" s="101"/>
      <c r="E74" s="145">
        <v>332</v>
      </c>
      <c r="F74" s="145">
        <v>348</v>
      </c>
      <c r="G74" s="112">
        <v>536</v>
      </c>
      <c r="H74" s="113">
        <v>549</v>
      </c>
      <c r="J74" s="139"/>
      <c r="K74" s="139"/>
      <c r="L74" s="139"/>
      <c r="M74" s="101"/>
      <c r="N74" s="101"/>
      <c r="O74" s="101"/>
      <c r="P74" s="101"/>
      <c r="Q74" s="101"/>
    </row>
    <row r="75" spans="1:17" ht="13.5" thickBot="1">
      <c r="A75" s="101"/>
      <c r="B75" s="101"/>
      <c r="C75" s="101"/>
      <c r="D75" s="101"/>
      <c r="E75" s="145">
        <v>348</v>
      </c>
      <c r="F75" s="145">
        <v>365</v>
      </c>
      <c r="G75" s="113">
        <v>549</v>
      </c>
      <c r="H75" s="112">
        <v>562</v>
      </c>
      <c r="J75" s="139"/>
      <c r="K75" s="139"/>
      <c r="L75" s="139"/>
      <c r="M75" s="101"/>
      <c r="N75" s="101"/>
      <c r="O75" s="101"/>
      <c r="P75" s="101"/>
      <c r="Q75" s="101"/>
    </row>
    <row r="76" spans="1:17" ht="13.5" thickBot="1">
      <c r="A76" s="101"/>
      <c r="B76" s="101"/>
      <c r="C76" s="101"/>
      <c r="D76" s="101"/>
      <c r="E76" s="145">
        <v>365</v>
      </c>
      <c r="F76" s="145">
        <v>383</v>
      </c>
      <c r="G76" s="112">
        <v>562</v>
      </c>
      <c r="H76" s="113">
        <v>576</v>
      </c>
      <c r="J76" s="146"/>
      <c r="K76" s="146"/>
      <c r="L76" s="146"/>
      <c r="M76" s="101"/>
      <c r="N76" s="101"/>
      <c r="O76" s="101"/>
      <c r="P76" s="101"/>
      <c r="Q76" s="101"/>
    </row>
    <row r="77" spans="1:17" ht="13.5" thickBot="1">
      <c r="A77" s="101"/>
      <c r="B77" s="101"/>
      <c r="C77" s="101"/>
      <c r="D77" s="101"/>
      <c r="E77" s="145">
        <v>383</v>
      </c>
      <c r="F77" s="145">
        <v>402</v>
      </c>
      <c r="G77" s="113">
        <v>576</v>
      </c>
      <c r="H77" s="112">
        <v>590</v>
      </c>
      <c r="J77" s="146"/>
      <c r="K77" s="146"/>
      <c r="L77" s="146"/>
      <c r="M77" s="101"/>
      <c r="N77" s="101"/>
      <c r="O77" s="101"/>
      <c r="P77" s="101"/>
      <c r="Q77" s="101"/>
    </row>
    <row r="78" spans="1:17" ht="13.5" thickBot="1">
      <c r="A78" s="101"/>
      <c r="B78" s="101"/>
      <c r="C78" s="101"/>
      <c r="D78" s="101"/>
      <c r="E78" s="145">
        <v>402</v>
      </c>
      <c r="F78" s="145">
        <v>422</v>
      </c>
      <c r="G78" s="112">
        <v>590</v>
      </c>
      <c r="H78" s="113">
        <v>604</v>
      </c>
      <c r="J78" s="146"/>
      <c r="K78" s="146"/>
      <c r="L78" s="146"/>
      <c r="M78" s="101"/>
      <c r="N78" s="101"/>
      <c r="O78" s="101"/>
      <c r="P78" s="101"/>
      <c r="Q78" s="101"/>
    </row>
    <row r="79" spans="1:17" ht="13.5" thickBot="1">
      <c r="A79" s="101"/>
      <c r="B79" s="101"/>
      <c r="C79" s="101"/>
      <c r="D79" s="101"/>
      <c r="E79" s="145">
        <v>422</v>
      </c>
      <c r="F79" s="145">
        <v>442</v>
      </c>
      <c r="G79" s="113">
        <v>604</v>
      </c>
      <c r="H79" s="112">
        <v>619</v>
      </c>
      <c r="J79" s="146"/>
      <c r="K79" s="146"/>
      <c r="L79" s="146"/>
      <c r="M79" s="101"/>
      <c r="N79" s="101"/>
      <c r="O79" s="101"/>
      <c r="P79" s="101"/>
      <c r="Q79" s="101"/>
    </row>
    <row r="80" spans="1:17" ht="13.5" thickBot="1">
      <c r="A80" s="101"/>
      <c r="B80" s="101"/>
      <c r="C80" s="101"/>
      <c r="D80" s="101"/>
      <c r="E80" s="145">
        <v>442</v>
      </c>
      <c r="F80" s="145">
        <v>464</v>
      </c>
      <c r="G80" s="112">
        <v>619</v>
      </c>
      <c r="H80" s="113">
        <v>634</v>
      </c>
      <c r="J80" s="146"/>
      <c r="K80" s="146"/>
      <c r="L80" s="146"/>
      <c r="M80" s="101"/>
      <c r="N80" s="101"/>
      <c r="O80" s="101"/>
      <c r="P80" s="101"/>
      <c r="Q80" s="101"/>
    </row>
    <row r="81" spans="1:17" ht="13.5" thickBot="1">
      <c r="A81" s="101"/>
      <c r="B81" s="101"/>
      <c r="C81" s="101"/>
      <c r="D81" s="101"/>
      <c r="E81" s="145">
        <v>464</v>
      </c>
      <c r="F81" s="145">
        <v>487</v>
      </c>
      <c r="G81" s="113">
        <v>634</v>
      </c>
      <c r="H81" s="112">
        <v>649</v>
      </c>
      <c r="J81" s="146"/>
      <c r="K81" s="146"/>
      <c r="L81" s="146"/>
      <c r="M81" s="101"/>
      <c r="N81" s="101"/>
      <c r="O81" s="101"/>
      <c r="P81" s="101"/>
      <c r="Q81" s="101"/>
    </row>
    <row r="82" spans="1:17" ht="13.5" thickBot="1">
      <c r="A82" s="101"/>
      <c r="B82" s="101"/>
      <c r="C82" s="101"/>
      <c r="D82" s="101"/>
      <c r="E82" s="145">
        <v>487</v>
      </c>
      <c r="F82" s="145">
        <v>511</v>
      </c>
      <c r="G82" s="112">
        <v>649</v>
      </c>
      <c r="H82" s="113">
        <v>665</v>
      </c>
      <c r="J82" s="146"/>
      <c r="K82" s="146"/>
      <c r="L82" s="146"/>
      <c r="M82" s="101"/>
      <c r="N82" s="101"/>
      <c r="O82" s="101"/>
      <c r="P82" s="101"/>
      <c r="Q82" s="101"/>
    </row>
    <row r="83" spans="1:17" ht="13.5" thickBot="1">
      <c r="A83" s="101"/>
      <c r="B83" s="101"/>
      <c r="C83" s="101"/>
      <c r="D83" s="101"/>
      <c r="E83" s="145">
        <v>511</v>
      </c>
      <c r="F83" s="145">
        <v>536</v>
      </c>
      <c r="G83" s="113">
        <v>665</v>
      </c>
      <c r="H83" s="112">
        <v>681</v>
      </c>
      <c r="J83" s="146"/>
      <c r="K83" s="146"/>
      <c r="L83" s="146"/>
      <c r="M83" s="101"/>
      <c r="N83" s="101"/>
      <c r="O83" s="101"/>
      <c r="P83" s="101"/>
      <c r="Q83" s="101"/>
    </row>
    <row r="84" spans="1:17" ht="13.5" thickBot="1">
      <c r="A84" s="101"/>
      <c r="B84" s="101"/>
      <c r="C84" s="101"/>
      <c r="D84" s="101"/>
      <c r="E84" s="145">
        <v>536</v>
      </c>
      <c r="F84" s="145">
        <v>562</v>
      </c>
      <c r="G84" s="112">
        <v>681</v>
      </c>
      <c r="H84" s="113">
        <v>698</v>
      </c>
      <c r="J84" s="146"/>
      <c r="K84" s="146"/>
      <c r="L84" s="146"/>
      <c r="M84" s="101"/>
      <c r="N84" s="101"/>
      <c r="O84" s="101"/>
      <c r="P84" s="101"/>
      <c r="Q84" s="101"/>
    </row>
    <row r="85" spans="1:17" ht="13.5" thickBot="1">
      <c r="A85" s="101"/>
      <c r="B85" s="101"/>
      <c r="C85" s="101"/>
      <c r="D85" s="101"/>
      <c r="E85" s="145">
        <v>562</v>
      </c>
      <c r="F85" s="145">
        <v>590</v>
      </c>
      <c r="G85" s="113">
        <v>698</v>
      </c>
      <c r="H85" s="112">
        <v>715</v>
      </c>
      <c r="J85" s="146"/>
      <c r="K85" s="146"/>
      <c r="L85" s="146"/>
      <c r="M85" s="101"/>
      <c r="N85" s="101"/>
      <c r="O85" s="101"/>
      <c r="P85" s="101"/>
      <c r="Q85" s="101"/>
    </row>
    <row r="86" spans="1:17" ht="13.5" thickBot="1">
      <c r="A86" s="101"/>
      <c r="B86" s="101"/>
      <c r="C86" s="101"/>
      <c r="D86" s="101"/>
      <c r="E86" s="145">
        <v>590</v>
      </c>
      <c r="F86" s="145">
        <v>619</v>
      </c>
      <c r="G86" s="112">
        <v>715</v>
      </c>
      <c r="H86" s="113">
        <v>732</v>
      </c>
      <c r="J86" s="146"/>
      <c r="K86" s="146"/>
      <c r="L86" s="146"/>
      <c r="M86" s="101"/>
      <c r="N86" s="101"/>
      <c r="O86" s="101"/>
      <c r="P86" s="101"/>
      <c r="Q86" s="101"/>
    </row>
    <row r="87" spans="1:17" ht="13.5" thickBot="1">
      <c r="A87" s="101"/>
      <c r="B87" s="101"/>
      <c r="C87" s="101"/>
      <c r="D87" s="101"/>
      <c r="E87" s="145">
        <v>619</v>
      </c>
      <c r="F87" s="145">
        <v>649</v>
      </c>
      <c r="G87" s="113">
        <v>732</v>
      </c>
      <c r="H87" s="112">
        <v>750</v>
      </c>
      <c r="J87" s="146"/>
      <c r="K87" s="146"/>
      <c r="L87" s="146"/>
      <c r="M87" s="101"/>
      <c r="N87" s="101"/>
      <c r="O87" s="101"/>
      <c r="P87" s="101"/>
      <c r="Q87" s="101"/>
    </row>
    <row r="88" spans="1:17" ht="13.5" thickBot="1">
      <c r="A88" s="101"/>
      <c r="B88" s="101"/>
      <c r="C88" s="101"/>
      <c r="D88" s="101"/>
      <c r="E88" s="145">
        <v>649</v>
      </c>
      <c r="F88" s="145">
        <v>681</v>
      </c>
      <c r="G88" s="112">
        <v>750</v>
      </c>
      <c r="H88" s="113">
        <v>768</v>
      </c>
      <c r="J88" s="146"/>
      <c r="K88" s="146"/>
      <c r="L88" s="146"/>
      <c r="M88" s="101"/>
      <c r="N88" s="101"/>
      <c r="O88" s="101"/>
      <c r="P88" s="101"/>
      <c r="Q88" s="101"/>
    </row>
    <row r="89" spans="1:17" ht="13.5" thickBot="1">
      <c r="A89" s="101"/>
      <c r="B89" s="101"/>
      <c r="C89" s="101"/>
      <c r="D89" s="101"/>
      <c r="E89" s="145">
        <v>681</v>
      </c>
      <c r="F89" s="145">
        <v>715</v>
      </c>
      <c r="G89" s="113">
        <v>768</v>
      </c>
      <c r="H89" s="112">
        <v>787</v>
      </c>
      <c r="J89" s="146"/>
      <c r="K89" s="146"/>
      <c r="L89" s="146"/>
      <c r="M89" s="101"/>
      <c r="N89" s="101"/>
      <c r="O89" s="101"/>
      <c r="P89" s="101"/>
      <c r="Q89" s="101"/>
    </row>
    <row r="90" spans="1:17" ht="13.5" thickBot="1">
      <c r="A90" s="101"/>
      <c r="B90" s="101"/>
      <c r="C90" s="101"/>
      <c r="D90" s="101"/>
      <c r="E90" s="145">
        <v>715</v>
      </c>
      <c r="F90" s="145">
        <v>750</v>
      </c>
      <c r="G90" s="112">
        <v>787</v>
      </c>
      <c r="H90" s="113">
        <v>806</v>
      </c>
      <c r="J90" s="146"/>
      <c r="K90" s="146"/>
      <c r="L90" s="146"/>
      <c r="M90" s="101"/>
      <c r="N90" s="101"/>
      <c r="O90" s="101"/>
      <c r="P90" s="101"/>
      <c r="Q90" s="101"/>
    </row>
    <row r="91" spans="1:17" ht="13.5" thickBot="1">
      <c r="A91" s="101"/>
      <c r="B91" s="101"/>
      <c r="C91" s="101"/>
      <c r="D91" s="101"/>
      <c r="E91" s="145">
        <v>750</v>
      </c>
      <c r="F91" s="145">
        <v>787</v>
      </c>
      <c r="G91" s="113">
        <v>806</v>
      </c>
      <c r="H91" s="112">
        <v>825</v>
      </c>
      <c r="J91" s="146"/>
      <c r="K91" s="146"/>
      <c r="L91" s="146"/>
      <c r="M91" s="101"/>
      <c r="N91" s="101"/>
      <c r="O91" s="101"/>
      <c r="P91" s="101"/>
      <c r="Q91" s="101"/>
    </row>
    <row r="92" spans="1:17" ht="13.5" thickBot="1">
      <c r="A92" s="101"/>
      <c r="B92" s="101"/>
      <c r="C92" s="101"/>
      <c r="D92" s="101"/>
      <c r="E92" s="145">
        <v>787</v>
      </c>
      <c r="F92" s="145">
        <v>825</v>
      </c>
      <c r="G92" s="112">
        <v>825</v>
      </c>
      <c r="H92" s="113">
        <v>845</v>
      </c>
      <c r="J92" s="146"/>
      <c r="K92" s="146"/>
      <c r="L92" s="146"/>
      <c r="M92" s="101"/>
      <c r="N92" s="101"/>
      <c r="O92" s="101"/>
      <c r="P92" s="101"/>
      <c r="Q92" s="101"/>
    </row>
    <row r="93" spans="1:17" ht="13.5" thickBot="1">
      <c r="A93" s="101"/>
      <c r="B93" s="101"/>
      <c r="C93" s="101"/>
      <c r="D93" s="101"/>
      <c r="E93" s="145">
        <v>825</v>
      </c>
      <c r="F93" s="145">
        <v>866</v>
      </c>
      <c r="G93" s="113">
        <v>845</v>
      </c>
      <c r="H93" s="112">
        <v>866</v>
      </c>
      <c r="J93" s="146"/>
      <c r="K93" s="146"/>
      <c r="L93" s="146"/>
      <c r="M93" s="101"/>
      <c r="N93" s="101"/>
      <c r="O93" s="101"/>
      <c r="P93" s="101"/>
      <c r="Q93" s="101"/>
    </row>
    <row r="94" spans="1:17" ht="13.5" thickBot="1">
      <c r="A94" s="101"/>
      <c r="B94" s="101"/>
      <c r="C94" s="101"/>
      <c r="D94" s="101"/>
      <c r="E94" s="145">
        <v>866</v>
      </c>
      <c r="F94" s="145">
        <v>909</v>
      </c>
      <c r="G94" s="112">
        <v>866</v>
      </c>
      <c r="H94" s="113">
        <v>887</v>
      </c>
      <c r="J94" s="146"/>
      <c r="K94" s="146"/>
      <c r="L94" s="146"/>
      <c r="M94" s="101"/>
      <c r="N94" s="101"/>
      <c r="O94" s="101"/>
      <c r="P94" s="101"/>
      <c r="Q94" s="101"/>
    </row>
    <row r="95" spans="1:17" ht="13.5" thickBot="1">
      <c r="A95" s="101"/>
      <c r="B95" s="101"/>
      <c r="C95" s="101"/>
      <c r="D95" s="101"/>
      <c r="E95" s="145">
        <v>909</v>
      </c>
      <c r="F95" s="145">
        <v>953</v>
      </c>
      <c r="G95" s="113">
        <v>887</v>
      </c>
      <c r="H95" s="112">
        <v>909</v>
      </c>
      <c r="J95" s="146"/>
      <c r="K95" s="146"/>
      <c r="L95" s="146"/>
      <c r="M95" s="101"/>
      <c r="N95" s="101"/>
      <c r="O95" s="101"/>
      <c r="P95" s="101"/>
      <c r="Q95" s="101"/>
    </row>
    <row r="96" spans="1:17" ht="13.5" thickBot="1">
      <c r="A96" s="101"/>
      <c r="B96" s="101"/>
      <c r="C96" s="101"/>
      <c r="D96" s="101"/>
      <c r="E96" s="145">
        <v>953</v>
      </c>
      <c r="F96" s="145">
        <v>1000</v>
      </c>
      <c r="G96" s="112">
        <v>909</v>
      </c>
      <c r="H96" s="113">
        <v>931</v>
      </c>
      <c r="J96" s="146"/>
      <c r="K96" s="146"/>
      <c r="L96" s="146"/>
      <c r="M96" s="101"/>
      <c r="N96" s="101"/>
      <c r="O96" s="101"/>
      <c r="P96" s="101"/>
      <c r="Q96" s="101"/>
    </row>
    <row r="97" spans="1:17" ht="13.5" thickBot="1">
      <c r="A97" s="101"/>
      <c r="B97" s="101"/>
      <c r="C97" s="101"/>
      <c r="D97" s="101"/>
      <c r="G97" s="113">
        <v>931</v>
      </c>
      <c r="H97" s="112">
        <v>953</v>
      </c>
      <c r="J97" s="146"/>
      <c r="K97" s="146"/>
      <c r="L97" s="146"/>
      <c r="M97" s="101"/>
      <c r="N97" s="101"/>
      <c r="O97" s="101"/>
      <c r="P97" s="101"/>
      <c r="Q97" s="101"/>
    </row>
    <row r="98" spans="1:17" ht="13.5" thickBot="1">
      <c r="A98" s="101"/>
      <c r="B98" s="101"/>
      <c r="C98" s="101"/>
      <c r="D98" s="101"/>
      <c r="E98" s="101"/>
      <c r="F98" s="101"/>
      <c r="G98" s="112">
        <v>953</v>
      </c>
      <c r="H98" s="113">
        <v>976</v>
      </c>
      <c r="J98" s="146"/>
      <c r="K98" s="146"/>
      <c r="L98" s="146"/>
      <c r="M98" s="101"/>
      <c r="N98" s="101"/>
      <c r="O98" s="101"/>
      <c r="P98" s="101"/>
      <c r="Q98" s="101"/>
    </row>
    <row r="99" spans="1:17" ht="13.5" thickBot="1">
      <c r="A99" s="101"/>
      <c r="B99" s="101"/>
      <c r="C99" s="101"/>
      <c r="D99" s="101"/>
      <c r="E99" s="101"/>
      <c r="F99" s="101"/>
      <c r="G99" s="113">
        <v>976</v>
      </c>
      <c r="H99" s="113">
        <v>1000</v>
      </c>
      <c r="J99" s="146"/>
      <c r="K99" s="146"/>
      <c r="L99" s="146"/>
      <c r="M99" s="101"/>
      <c r="N99" s="101"/>
      <c r="O99" s="101"/>
      <c r="P99" s="101"/>
      <c r="Q99" s="101"/>
    </row>
    <row r="100" spans="1:17" ht="12.75">
      <c r="A100" s="101"/>
      <c r="B100" s="101"/>
      <c r="C100" s="101"/>
      <c r="D100" s="101"/>
      <c r="E100" s="101"/>
      <c r="F100" s="101"/>
      <c r="J100" s="146"/>
      <c r="K100" s="146"/>
      <c r="L100" s="146"/>
      <c r="M100" s="101"/>
      <c r="N100" s="101"/>
      <c r="O100" s="101"/>
      <c r="P100" s="101"/>
      <c r="Q100" s="101"/>
    </row>
    <row r="101" spans="1:17" ht="12.75">
      <c r="A101" s="101"/>
      <c r="B101" s="101"/>
      <c r="C101" s="101"/>
      <c r="D101" s="101"/>
      <c r="E101" s="101"/>
      <c r="F101" s="101"/>
      <c r="J101" s="146"/>
      <c r="K101" s="146"/>
      <c r="L101" s="146"/>
      <c r="M101" s="101"/>
      <c r="N101" s="101"/>
      <c r="O101" s="101"/>
      <c r="P101" s="101"/>
      <c r="Q101" s="101"/>
    </row>
    <row r="102" spans="1:17" ht="12.75">
      <c r="A102" s="101"/>
      <c r="B102" s="101"/>
      <c r="C102" s="101"/>
      <c r="D102" s="101"/>
      <c r="E102" s="101"/>
      <c r="F102" s="101"/>
      <c r="J102" s="146"/>
      <c r="K102" s="146"/>
      <c r="L102" s="146"/>
      <c r="M102" s="101"/>
      <c r="N102" s="101"/>
      <c r="O102" s="101"/>
      <c r="P102" s="101"/>
      <c r="Q102" s="101"/>
    </row>
    <row r="103" spans="1:17" ht="12.75">
      <c r="A103" s="101"/>
      <c r="B103" s="101"/>
      <c r="C103" s="101"/>
      <c r="D103" s="101"/>
      <c r="E103" s="101"/>
      <c r="F103" s="101"/>
      <c r="J103" s="146"/>
      <c r="K103" s="146"/>
      <c r="L103" s="146"/>
      <c r="M103" s="101"/>
      <c r="N103" s="101"/>
      <c r="O103" s="101"/>
      <c r="P103" s="101"/>
      <c r="Q103" s="101"/>
    </row>
    <row r="104" spans="1:17" ht="12.75">
      <c r="A104" s="101"/>
      <c r="B104" s="101"/>
      <c r="C104" s="101"/>
      <c r="D104" s="101"/>
      <c r="E104" s="101"/>
      <c r="F104" s="101"/>
      <c r="J104" s="146"/>
      <c r="K104" s="146"/>
      <c r="L104" s="146"/>
      <c r="M104" s="101"/>
      <c r="N104" s="101"/>
      <c r="O104" s="101"/>
      <c r="P104" s="101"/>
      <c r="Q104" s="101"/>
    </row>
    <row r="105" spans="1:17" ht="12.75">
      <c r="A105" s="101"/>
      <c r="B105" s="101"/>
      <c r="C105" s="101"/>
      <c r="D105" s="101"/>
      <c r="E105" s="101"/>
      <c r="F105" s="101"/>
      <c r="J105" s="146"/>
      <c r="K105" s="146"/>
      <c r="L105" s="146"/>
      <c r="M105" s="101"/>
      <c r="N105" s="101"/>
      <c r="O105" s="101"/>
      <c r="P105" s="101"/>
      <c r="Q105" s="101"/>
    </row>
    <row r="106" spans="1:17" ht="12.75">
      <c r="A106" s="101"/>
      <c r="B106" s="101"/>
      <c r="C106" s="101"/>
      <c r="D106" s="101"/>
      <c r="E106" s="101"/>
      <c r="F106" s="101"/>
      <c r="J106" s="146"/>
      <c r="K106" s="146"/>
      <c r="L106" s="146"/>
      <c r="M106" s="101"/>
      <c r="N106" s="101"/>
      <c r="O106" s="101"/>
      <c r="P106" s="101"/>
      <c r="Q106" s="101"/>
    </row>
    <row r="107" spans="1:17" ht="12.75">
      <c r="A107" s="101"/>
      <c r="B107" s="101"/>
      <c r="C107" s="101"/>
      <c r="D107" s="101"/>
      <c r="E107" s="101"/>
      <c r="F107" s="101"/>
      <c r="J107" s="146"/>
      <c r="K107" s="146"/>
      <c r="L107" s="146"/>
      <c r="M107" s="101"/>
      <c r="N107" s="101"/>
      <c r="O107" s="101"/>
      <c r="P107" s="101"/>
      <c r="Q107" s="101"/>
    </row>
    <row r="108" spans="1:17" ht="12.75">
      <c r="A108" s="101"/>
      <c r="B108" s="101"/>
      <c r="C108" s="101"/>
      <c r="D108" s="101"/>
      <c r="E108" s="101"/>
      <c r="F108" s="101"/>
      <c r="J108" s="146"/>
      <c r="K108" s="146"/>
      <c r="L108" s="146"/>
      <c r="M108" s="101"/>
      <c r="N108" s="101"/>
      <c r="O108" s="101"/>
      <c r="P108" s="101"/>
      <c r="Q108" s="101"/>
    </row>
    <row r="109" spans="1:17" ht="12.75">
      <c r="A109" s="101"/>
      <c r="B109" s="101"/>
      <c r="C109" s="101"/>
      <c r="D109" s="101"/>
      <c r="E109" s="101"/>
      <c r="F109" s="101"/>
      <c r="J109" s="146"/>
      <c r="K109" s="146"/>
      <c r="L109" s="146"/>
      <c r="M109" s="101"/>
      <c r="N109" s="101"/>
      <c r="O109" s="101"/>
      <c r="P109" s="101"/>
      <c r="Q109" s="101"/>
    </row>
    <row r="110" spans="1:17" ht="12.75">
      <c r="A110" s="101"/>
      <c r="B110" s="101"/>
      <c r="C110" s="101"/>
      <c r="D110" s="101"/>
      <c r="E110" s="101"/>
      <c r="F110" s="101"/>
      <c r="J110" s="146"/>
      <c r="K110" s="146"/>
      <c r="L110" s="146"/>
      <c r="M110" s="101"/>
      <c r="N110" s="101"/>
      <c r="O110" s="101"/>
      <c r="P110" s="101"/>
      <c r="Q110" s="101"/>
    </row>
    <row r="111" spans="1:17" ht="12.75">
      <c r="A111" s="101"/>
      <c r="B111" s="101"/>
      <c r="C111" s="101"/>
      <c r="D111" s="101"/>
      <c r="E111" s="101"/>
      <c r="F111" s="101"/>
      <c r="J111" s="146"/>
      <c r="K111" s="146"/>
      <c r="L111" s="146"/>
      <c r="M111" s="101"/>
      <c r="N111" s="101"/>
      <c r="O111" s="101"/>
      <c r="P111" s="101"/>
      <c r="Q111" s="101"/>
    </row>
    <row r="112" spans="1:17" ht="12.75">
      <c r="A112" s="101"/>
      <c r="B112" s="101"/>
      <c r="C112" s="101"/>
      <c r="D112" s="101"/>
      <c r="E112" s="101"/>
      <c r="F112" s="101"/>
      <c r="J112" s="146"/>
      <c r="K112" s="146"/>
      <c r="L112" s="146"/>
      <c r="M112" s="101"/>
      <c r="N112" s="101"/>
      <c r="O112" s="101"/>
      <c r="P112" s="101"/>
      <c r="Q112" s="101"/>
    </row>
    <row r="113" spans="1:17" ht="12.75">
      <c r="A113" s="101"/>
      <c r="B113" s="101"/>
      <c r="C113" s="101"/>
      <c r="D113" s="101"/>
      <c r="E113" s="101"/>
      <c r="F113" s="101"/>
      <c r="J113" s="146"/>
      <c r="K113" s="146"/>
      <c r="L113" s="146"/>
      <c r="M113" s="101"/>
      <c r="N113" s="101"/>
      <c r="O113" s="101"/>
      <c r="P113" s="101"/>
      <c r="Q113" s="101"/>
    </row>
    <row r="114" spans="1:17" ht="12.75">
      <c r="A114" s="101"/>
      <c r="B114" s="101"/>
      <c r="C114" s="101"/>
      <c r="D114" s="101"/>
      <c r="E114" s="101"/>
      <c r="F114" s="101"/>
      <c r="G114" s="101"/>
      <c r="H114" s="101"/>
      <c r="I114" s="101"/>
      <c r="J114" s="146"/>
      <c r="K114" s="146"/>
      <c r="L114" s="146"/>
      <c r="M114" s="101"/>
      <c r="N114" s="101"/>
      <c r="O114" s="101"/>
      <c r="P114" s="101"/>
      <c r="Q114" s="101"/>
    </row>
    <row r="115" spans="1:17" ht="12.75">
      <c r="A115" s="101"/>
      <c r="B115" s="101"/>
      <c r="C115" s="101"/>
      <c r="D115" s="101"/>
      <c r="E115" s="101"/>
      <c r="F115" s="101"/>
      <c r="G115" s="101"/>
      <c r="H115" s="101"/>
      <c r="I115" s="101"/>
      <c r="J115" s="146"/>
      <c r="K115" s="146"/>
      <c r="L115" s="146"/>
      <c r="M115" s="101"/>
      <c r="N115" s="101"/>
      <c r="O115" s="101"/>
      <c r="P115" s="101"/>
      <c r="Q115" s="101"/>
    </row>
    <row r="116" spans="1:17" ht="12.75">
      <c r="A116" s="101"/>
      <c r="B116" s="101"/>
      <c r="C116" s="101"/>
      <c r="D116" s="101"/>
      <c r="E116" s="101"/>
      <c r="F116" s="101"/>
      <c r="G116" s="101"/>
      <c r="H116" s="101"/>
      <c r="I116" s="101"/>
      <c r="J116" s="146"/>
      <c r="K116" s="146"/>
      <c r="L116" s="146"/>
      <c r="M116" s="101"/>
      <c r="N116" s="101"/>
      <c r="O116" s="101"/>
      <c r="P116" s="101"/>
      <c r="Q116" s="101"/>
    </row>
    <row r="117" spans="1:17" ht="12.75">
      <c r="A117" s="101"/>
      <c r="B117" s="101"/>
      <c r="C117" s="101"/>
      <c r="D117" s="101"/>
      <c r="E117" s="101"/>
      <c r="F117" s="101"/>
      <c r="G117" s="101"/>
      <c r="H117" s="101"/>
      <c r="I117" s="101"/>
      <c r="J117" s="146"/>
      <c r="K117" s="146"/>
      <c r="L117" s="146"/>
      <c r="M117" s="101"/>
      <c r="N117" s="101"/>
      <c r="O117" s="101"/>
      <c r="P117" s="101"/>
      <c r="Q117" s="101"/>
    </row>
    <row r="118" spans="1:17" ht="12.75">
      <c r="A118" s="101"/>
      <c r="B118" s="101"/>
      <c r="C118" s="101"/>
      <c r="D118" s="101"/>
      <c r="E118" s="101"/>
      <c r="F118" s="101"/>
      <c r="G118" s="101"/>
      <c r="H118" s="101"/>
      <c r="I118" s="101"/>
      <c r="J118" s="146"/>
      <c r="K118" s="146"/>
      <c r="L118" s="146"/>
      <c r="M118" s="101"/>
      <c r="N118" s="101"/>
      <c r="O118" s="101"/>
      <c r="P118" s="101"/>
      <c r="Q118" s="101"/>
    </row>
    <row r="119" spans="1:17" ht="12.75">
      <c r="A119" s="101"/>
      <c r="B119" s="101"/>
      <c r="C119" s="101"/>
      <c r="D119" s="101"/>
      <c r="E119" s="101"/>
      <c r="F119" s="101"/>
      <c r="G119" s="101"/>
      <c r="H119" s="101"/>
      <c r="I119" s="101"/>
      <c r="J119" s="146"/>
      <c r="K119" s="146"/>
      <c r="L119" s="146"/>
      <c r="M119" s="101"/>
      <c r="N119" s="101"/>
      <c r="O119" s="101"/>
      <c r="P119" s="101"/>
      <c r="Q119" s="101"/>
    </row>
    <row r="120" spans="1:17" ht="12.75">
      <c r="A120" s="101"/>
      <c r="B120" s="101"/>
      <c r="C120" s="101"/>
      <c r="D120" s="101"/>
      <c r="E120" s="101"/>
      <c r="F120" s="101"/>
      <c r="G120" s="101"/>
      <c r="H120" s="101"/>
      <c r="I120" s="101"/>
      <c r="J120" s="146"/>
      <c r="K120" s="146"/>
      <c r="L120" s="146"/>
      <c r="M120" s="101"/>
      <c r="N120" s="101"/>
      <c r="O120" s="101"/>
      <c r="P120" s="101"/>
      <c r="Q120" s="101"/>
    </row>
    <row r="121" spans="1:17" ht="12.75">
      <c r="A121" s="101"/>
      <c r="B121" s="101"/>
      <c r="C121" s="101"/>
      <c r="D121" s="101"/>
      <c r="E121" s="101"/>
      <c r="F121" s="101"/>
      <c r="G121" s="101"/>
      <c r="H121" s="101"/>
      <c r="I121" s="101"/>
      <c r="J121" s="146"/>
      <c r="K121" s="146"/>
      <c r="L121" s="146"/>
      <c r="M121" s="101"/>
      <c r="N121" s="101"/>
      <c r="O121" s="101"/>
      <c r="P121" s="101"/>
      <c r="Q121" s="101"/>
    </row>
    <row r="122" spans="1:17" ht="12.75">
      <c r="A122" s="101"/>
      <c r="B122" s="101"/>
      <c r="C122" s="101"/>
      <c r="D122" s="101"/>
      <c r="E122" s="101"/>
      <c r="F122" s="101"/>
      <c r="G122" s="101"/>
      <c r="H122" s="101"/>
      <c r="I122" s="101"/>
      <c r="J122" s="146"/>
      <c r="K122" s="146"/>
      <c r="L122" s="146"/>
      <c r="M122" s="101"/>
      <c r="N122" s="101"/>
      <c r="O122" s="101"/>
      <c r="P122" s="101"/>
      <c r="Q122" s="101"/>
    </row>
    <row r="123" spans="1:17" ht="12.75">
      <c r="A123" s="101"/>
      <c r="B123" s="101"/>
      <c r="C123" s="101"/>
      <c r="D123" s="101"/>
      <c r="E123" s="101"/>
      <c r="F123" s="101"/>
      <c r="G123" s="101"/>
      <c r="H123" s="101"/>
      <c r="I123" s="101"/>
      <c r="J123" s="146"/>
      <c r="K123" s="146"/>
      <c r="L123" s="146"/>
      <c r="M123" s="101"/>
      <c r="N123" s="101"/>
      <c r="O123" s="101"/>
      <c r="P123" s="101"/>
      <c r="Q123" s="101"/>
    </row>
    <row r="124" spans="1:17" ht="12.75">
      <c r="A124" s="101"/>
      <c r="B124" s="101"/>
      <c r="C124" s="101"/>
      <c r="D124" s="101"/>
      <c r="E124" s="101"/>
      <c r="F124" s="101"/>
      <c r="G124" s="101"/>
      <c r="H124" s="101"/>
      <c r="I124" s="101"/>
      <c r="J124" s="146"/>
      <c r="K124" s="146"/>
      <c r="L124" s="146"/>
      <c r="M124" s="101"/>
      <c r="N124" s="101"/>
      <c r="O124" s="101"/>
      <c r="P124" s="101"/>
      <c r="Q124" s="101"/>
    </row>
    <row r="125" spans="1:17" ht="12.75">
      <c r="A125" s="101"/>
      <c r="B125" s="101"/>
      <c r="C125" s="101"/>
      <c r="D125" s="101"/>
      <c r="E125" s="101"/>
      <c r="F125" s="101"/>
      <c r="G125" s="101"/>
      <c r="H125" s="101"/>
      <c r="I125" s="101"/>
      <c r="J125" s="146"/>
      <c r="K125" s="146"/>
      <c r="L125" s="146"/>
      <c r="M125" s="101"/>
      <c r="N125" s="101"/>
      <c r="O125" s="101"/>
      <c r="P125" s="101"/>
      <c r="Q125" s="101"/>
    </row>
    <row r="126" spans="1:17" ht="12.75">
      <c r="A126" s="101"/>
      <c r="B126" s="101"/>
      <c r="C126" s="101"/>
      <c r="D126" s="101"/>
      <c r="E126" s="101"/>
      <c r="F126" s="101"/>
      <c r="G126" s="101"/>
      <c r="H126" s="101"/>
      <c r="I126" s="101"/>
      <c r="J126" s="146"/>
      <c r="K126" s="146"/>
      <c r="L126" s="146"/>
      <c r="M126" s="101"/>
      <c r="N126" s="101"/>
      <c r="O126" s="101"/>
      <c r="P126" s="101"/>
      <c r="Q126" s="101"/>
    </row>
    <row r="127" spans="1:17" ht="12.75">
      <c r="A127" s="101"/>
      <c r="B127" s="101"/>
      <c r="C127" s="101"/>
      <c r="D127" s="101"/>
      <c r="E127" s="101"/>
      <c r="F127" s="101"/>
      <c r="G127" s="101"/>
      <c r="H127" s="101"/>
      <c r="I127" s="101"/>
      <c r="J127" s="146"/>
      <c r="K127" s="146"/>
      <c r="L127" s="146"/>
      <c r="M127" s="101"/>
      <c r="N127" s="101"/>
      <c r="O127" s="101"/>
      <c r="P127" s="101"/>
      <c r="Q127" s="101"/>
    </row>
    <row r="128" spans="1:17" ht="12.75">
      <c r="A128" s="101"/>
      <c r="B128" s="101"/>
      <c r="C128" s="101"/>
      <c r="D128" s="101"/>
      <c r="E128" s="101"/>
      <c r="F128" s="101"/>
      <c r="G128" s="101"/>
      <c r="H128" s="101"/>
      <c r="I128" s="101"/>
      <c r="J128" s="146"/>
      <c r="K128" s="146"/>
      <c r="L128" s="146"/>
      <c r="M128" s="101"/>
      <c r="N128" s="101"/>
      <c r="O128" s="101"/>
      <c r="P128" s="101"/>
      <c r="Q128" s="101"/>
    </row>
    <row r="129" spans="1:17" ht="12.75">
      <c r="A129" s="101"/>
      <c r="B129" s="101"/>
      <c r="C129" s="101"/>
      <c r="D129" s="101"/>
      <c r="E129" s="101"/>
      <c r="F129" s="101"/>
      <c r="G129" s="101"/>
      <c r="H129" s="101"/>
      <c r="I129" s="101"/>
      <c r="J129" s="146"/>
      <c r="K129" s="146"/>
      <c r="L129" s="146"/>
      <c r="M129" s="101"/>
      <c r="N129" s="101"/>
      <c r="O129" s="101"/>
      <c r="P129" s="101"/>
      <c r="Q129" s="101"/>
    </row>
    <row r="130" spans="1:17" ht="12.75">
      <c r="A130" s="101"/>
      <c r="B130" s="101"/>
      <c r="C130" s="101"/>
      <c r="D130" s="101"/>
      <c r="E130" s="101"/>
      <c r="F130" s="101"/>
      <c r="G130" s="101"/>
      <c r="H130" s="101"/>
      <c r="I130" s="101"/>
      <c r="J130" s="146"/>
      <c r="K130" s="146"/>
      <c r="L130" s="146"/>
      <c r="M130" s="101"/>
      <c r="N130" s="101"/>
      <c r="O130" s="101"/>
      <c r="P130" s="101"/>
      <c r="Q130" s="101"/>
    </row>
    <row r="131" spans="1:17" ht="12.75">
      <c r="A131" s="101"/>
      <c r="B131" s="101"/>
      <c r="C131" s="101"/>
      <c r="D131" s="101"/>
      <c r="E131" s="101"/>
      <c r="F131" s="101"/>
      <c r="G131" s="101"/>
      <c r="H131" s="101"/>
      <c r="I131" s="101"/>
      <c r="J131" s="146"/>
      <c r="K131" s="146"/>
      <c r="L131" s="146"/>
      <c r="M131" s="101"/>
      <c r="N131" s="101"/>
      <c r="O131" s="101"/>
      <c r="P131" s="101"/>
      <c r="Q131" s="101"/>
    </row>
    <row r="132" spans="1:17" ht="12.75">
      <c r="A132" s="101"/>
      <c r="B132" s="101"/>
      <c r="C132" s="101"/>
      <c r="D132" s="101"/>
      <c r="E132" s="101"/>
      <c r="F132" s="101"/>
      <c r="G132" s="101"/>
      <c r="H132" s="101"/>
      <c r="I132" s="101"/>
      <c r="J132" s="146"/>
      <c r="K132" s="146"/>
      <c r="L132" s="146"/>
      <c r="M132" s="101"/>
      <c r="N132" s="101"/>
      <c r="O132" s="101"/>
      <c r="P132" s="101"/>
      <c r="Q132" s="101"/>
    </row>
    <row r="133" spans="1:17" ht="12.75">
      <c r="A133" s="101"/>
      <c r="B133" s="101"/>
      <c r="C133" s="101"/>
      <c r="D133" s="101"/>
      <c r="E133" s="101"/>
      <c r="F133" s="101"/>
      <c r="G133" s="101"/>
      <c r="H133" s="101"/>
      <c r="I133" s="101"/>
      <c r="J133" s="146"/>
      <c r="K133" s="146"/>
      <c r="L133" s="146"/>
      <c r="M133" s="101"/>
      <c r="N133" s="101"/>
      <c r="O133" s="101"/>
      <c r="P133" s="101"/>
      <c r="Q133" s="101"/>
    </row>
    <row r="134" spans="1:17" ht="12.75">
      <c r="A134" s="101"/>
      <c r="B134" s="101"/>
      <c r="C134" s="101"/>
      <c r="D134" s="101"/>
      <c r="E134" s="101"/>
      <c r="F134" s="101"/>
      <c r="G134" s="101"/>
      <c r="H134" s="101"/>
      <c r="I134" s="101"/>
      <c r="J134" s="146"/>
      <c r="K134" s="146"/>
      <c r="L134" s="146"/>
      <c r="M134" s="101"/>
      <c r="N134" s="101"/>
      <c r="O134" s="101"/>
      <c r="P134" s="101"/>
      <c r="Q134" s="101"/>
    </row>
    <row r="135" spans="1:17" ht="12.75">
      <c r="A135" s="101"/>
      <c r="B135" s="101"/>
      <c r="C135" s="101"/>
      <c r="D135" s="101"/>
      <c r="E135" s="101"/>
      <c r="F135" s="101"/>
      <c r="G135" s="101"/>
      <c r="H135" s="101"/>
      <c r="I135" s="101"/>
      <c r="J135" s="146"/>
      <c r="K135" s="146"/>
      <c r="L135" s="146"/>
      <c r="M135" s="101"/>
      <c r="N135" s="101"/>
      <c r="O135" s="101"/>
      <c r="P135" s="101"/>
      <c r="Q135" s="101"/>
    </row>
    <row r="136" spans="1:17" ht="12.75">
      <c r="A136" s="101"/>
      <c r="B136" s="101"/>
      <c r="C136" s="101"/>
      <c r="D136" s="101"/>
      <c r="E136" s="101"/>
      <c r="F136" s="101"/>
      <c r="G136" s="101"/>
      <c r="H136" s="101"/>
      <c r="I136" s="101"/>
      <c r="J136" s="146"/>
      <c r="K136" s="146"/>
      <c r="L136" s="146"/>
      <c r="M136" s="101"/>
      <c r="N136" s="101"/>
      <c r="O136" s="101"/>
      <c r="P136" s="101"/>
      <c r="Q136" s="101"/>
    </row>
    <row r="137" spans="1:17" ht="12.75">
      <c r="A137" s="101"/>
      <c r="B137" s="101"/>
      <c r="C137" s="101"/>
      <c r="D137" s="101"/>
      <c r="E137" s="101"/>
      <c r="F137" s="101"/>
      <c r="G137" s="101"/>
      <c r="H137" s="101"/>
      <c r="I137" s="101"/>
      <c r="J137" s="146"/>
      <c r="K137" s="146"/>
      <c r="L137" s="146"/>
      <c r="M137" s="101"/>
      <c r="N137" s="101"/>
      <c r="O137" s="101"/>
      <c r="P137" s="101"/>
      <c r="Q137" s="101"/>
    </row>
    <row r="138" spans="1:17" ht="12.75">
      <c r="A138" s="101"/>
      <c r="B138" s="101"/>
      <c r="C138" s="101"/>
      <c r="D138" s="101"/>
      <c r="E138" s="101"/>
      <c r="F138" s="101"/>
      <c r="G138" s="101"/>
      <c r="H138" s="101"/>
      <c r="I138" s="101"/>
      <c r="J138" s="146"/>
      <c r="K138" s="146"/>
      <c r="L138" s="146"/>
      <c r="M138" s="101"/>
      <c r="N138" s="101"/>
      <c r="O138" s="101"/>
      <c r="P138" s="101"/>
      <c r="Q138" s="101"/>
    </row>
    <row r="139" spans="1:17" ht="12.75">
      <c r="A139" s="101"/>
      <c r="B139" s="101"/>
      <c r="C139" s="101"/>
      <c r="D139" s="101"/>
      <c r="E139" s="101"/>
      <c r="F139" s="101"/>
      <c r="G139" s="101"/>
      <c r="H139" s="101"/>
      <c r="I139" s="101"/>
      <c r="J139" s="146"/>
      <c r="K139" s="146"/>
      <c r="L139" s="146"/>
      <c r="M139" s="101"/>
      <c r="N139" s="101"/>
      <c r="O139" s="101"/>
      <c r="P139" s="101"/>
      <c r="Q139" s="101"/>
    </row>
    <row r="140" spans="1:17" ht="12.75">
      <c r="A140" s="101"/>
      <c r="B140" s="101"/>
      <c r="C140" s="101"/>
      <c r="D140" s="101"/>
      <c r="E140" s="101"/>
      <c r="F140" s="101"/>
      <c r="G140" s="101"/>
      <c r="H140" s="101"/>
      <c r="I140" s="101"/>
      <c r="J140" s="146"/>
      <c r="K140" s="146"/>
      <c r="L140" s="146"/>
      <c r="M140" s="101"/>
      <c r="N140" s="101"/>
      <c r="O140" s="101"/>
      <c r="P140" s="101"/>
      <c r="Q140" s="101"/>
    </row>
    <row r="141" spans="1:17" ht="12.75">
      <c r="A141" s="101"/>
      <c r="B141" s="101"/>
      <c r="C141" s="101"/>
      <c r="D141" s="101"/>
      <c r="E141" s="101"/>
      <c r="F141" s="101"/>
      <c r="G141" s="101"/>
      <c r="H141" s="101"/>
      <c r="I141" s="101"/>
      <c r="J141" s="146"/>
      <c r="K141" s="146"/>
      <c r="L141" s="146"/>
      <c r="M141" s="101"/>
      <c r="N141" s="101"/>
      <c r="O141" s="101"/>
      <c r="P141" s="101"/>
      <c r="Q141" s="101"/>
    </row>
    <row r="142" spans="1:17" ht="12.75">
      <c r="A142" s="101"/>
      <c r="B142" s="101"/>
      <c r="C142" s="101"/>
      <c r="D142" s="101"/>
      <c r="E142" s="101"/>
      <c r="F142" s="101"/>
      <c r="G142" s="101"/>
      <c r="H142" s="101"/>
      <c r="I142" s="101"/>
      <c r="J142" s="146"/>
      <c r="K142" s="146"/>
      <c r="L142" s="146"/>
      <c r="M142" s="101"/>
      <c r="N142" s="101"/>
      <c r="O142" s="101"/>
      <c r="P142" s="101"/>
      <c r="Q142" s="101"/>
    </row>
    <row r="143" spans="1:17" ht="12.75">
      <c r="A143" s="101"/>
      <c r="B143" s="101"/>
      <c r="C143" s="101"/>
      <c r="D143" s="101"/>
      <c r="E143" s="101"/>
      <c r="F143" s="101"/>
      <c r="G143" s="101"/>
      <c r="H143" s="101"/>
      <c r="I143" s="101"/>
      <c r="J143" s="146"/>
      <c r="K143" s="146"/>
      <c r="L143" s="146"/>
      <c r="M143" s="101"/>
      <c r="N143" s="101"/>
      <c r="O143" s="101"/>
      <c r="P143" s="101"/>
      <c r="Q143" s="101"/>
    </row>
    <row r="144" spans="1:17" ht="12.75">
      <c r="A144" s="101"/>
      <c r="B144" s="101"/>
      <c r="C144" s="101"/>
      <c r="D144" s="101"/>
      <c r="E144" s="101"/>
      <c r="F144" s="101"/>
      <c r="G144" s="101"/>
      <c r="H144" s="101"/>
      <c r="I144" s="101"/>
      <c r="J144" s="146"/>
      <c r="K144" s="146"/>
      <c r="L144" s="146"/>
      <c r="M144" s="101"/>
      <c r="N144" s="101"/>
      <c r="O144" s="101"/>
      <c r="P144" s="101"/>
      <c r="Q144" s="101"/>
    </row>
    <row r="145" spans="1:17" ht="12.75">
      <c r="A145" s="101"/>
      <c r="B145" s="101"/>
      <c r="C145" s="101"/>
      <c r="D145" s="101"/>
      <c r="E145" s="101"/>
      <c r="F145" s="101"/>
      <c r="G145" s="101"/>
      <c r="H145" s="101"/>
      <c r="I145" s="101"/>
      <c r="J145" s="146"/>
      <c r="K145" s="146"/>
      <c r="L145" s="146"/>
      <c r="M145" s="101"/>
      <c r="N145" s="101"/>
      <c r="O145" s="101"/>
      <c r="P145" s="101"/>
      <c r="Q145" s="101"/>
    </row>
    <row r="146" spans="1:17" ht="12.75">
      <c r="A146" s="101"/>
      <c r="B146" s="101"/>
      <c r="C146" s="101"/>
      <c r="D146" s="101"/>
      <c r="E146" s="101"/>
      <c r="F146" s="101"/>
      <c r="G146" s="101"/>
      <c r="H146" s="101"/>
      <c r="I146" s="101"/>
      <c r="J146" s="146"/>
      <c r="K146" s="146"/>
      <c r="L146" s="146"/>
      <c r="M146" s="101"/>
      <c r="N146" s="101"/>
      <c r="O146" s="101"/>
      <c r="P146" s="101"/>
      <c r="Q146" s="101"/>
    </row>
  </sheetData>
  <sheetProtection sheet="1" selectLockedCells="1"/>
  <mergeCells count="5">
    <mergeCell ref="E3:F3"/>
    <mergeCell ref="G3:H3"/>
    <mergeCell ref="E10:F10"/>
    <mergeCell ref="E23:F23"/>
    <mergeCell ref="E48:F48"/>
  </mergeCells>
  <printOptions/>
  <pageMargins left="0.49" right="0.42" top="1" bottom="1" header="0.5" footer="0.5"/>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a0192789</dc:creator>
  <cp:keywords/>
  <dc:description/>
  <cp:lastModifiedBy>Anthony Fagnani</cp:lastModifiedBy>
  <cp:lastPrinted>2009-05-21T20:23:27Z</cp:lastPrinted>
  <dcterms:created xsi:type="dcterms:W3CDTF">2009-03-26T20:28:21Z</dcterms:created>
  <dcterms:modified xsi:type="dcterms:W3CDTF">2015-01-06T17:06:32Z</dcterms:modified>
  <cp:category/>
  <cp:version/>
  <cp:contentType/>
  <cp:contentStatus/>
</cp:coreProperties>
</file>