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Sheet1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62" i="1" l="1"/>
  <c r="F60" i="1"/>
  <c r="F54" i="1"/>
  <c r="F41" i="1"/>
  <c r="F36" i="1"/>
  <c r="F34" i="1"/>
  <c r="F21" i="1"/>
  <c r="F20" i="1"/>
  <c r="F23" i="1" s="1"/>
  <c r="F24" i="1" s="1"/>
  <c r="F10" i="1"/>
  <c r="F13" i="1" s="1"/>
  <c r="F7" i="1"/>
  <c r="F59" i="1" s="1"/>
  <c r="F61" i="1" s="1"/>
  <c r="F2" i="1"/>
  <c r="B54" i="1"/>
  <c r="B41" i="1"/>
  <c r="B36" i="1"/>
  <c r="B34" i="1"/>
  <c r="B33" i="1"/>
  <c r="B21" i="1"/>
  <c r="B60" i="1" s="1"/>
  <c r="B62" i="1" s="1"/>
  <c r="B20" i="1"/>
  <c r="B26" i="1" s="1"/>
  <c r="B10" i="1"/>
  <c r="B53" i="1" s="1"/>
  <c r="B7" i="1"/>
  <c r="B59" i="1" s="1"/>
  <c r="B61" i="1" s="1"/>
  <c r="B2" i="1"/>
  <c r="F42" i="1" l="1"/>
  <c r="F33" i="1"/>
  <c r="F53" i="1"/>
  <c r="F26" i="1"/>
  <c r="F27" i="1"/>
  <c r="F29" i="1" s="1"/>
  <c r="B47" i="1"/>
  <c r="B48" i="1"/>
  <c r="B27" i="1"/>
  <c r="B23" i="1"/>
  <c r="B24" i="1" s="1"/>
  <c r="B28" i="1"/>
  <c r="B42" i="1"/>
  <c r="B13" i="1"/>
  <c r="B29" i="1"/>
  <c r="F28" i="1" l="1"/>
  <c r="F31" i="1" s="1"/>
  <c r="F47" i="1"/>
  <c r="F48" i="1"/>
  <c r="F57" i="1"/>
  <c r="F35" i="1"/>
  <c r="F50" i="1"/>
  <c r="F44" i="1"/>
  <c r="B31" i="1"/>
  <c r="B57" i="1"/>
  <c r="B35" i="1"/>
  <c r="B50" i="1"/>
  <c r="B44" i="1"/>
</calcChain>
</file>

<file path=xl/sharedStrings.xml><?xml version="1.0" encoding="utf-8"?>
<sst xmlns="http://schemas.openxmlformats.org/spreadsheetml/2006/main" count="87" uniqueCount="80">
  <si>
    <t>fosc [MHz]</t>
  </si>
  <si>
    <t>Rrt [kΩ]</t>
  </si>
  <si>
    <t>(2)</t>
  </si>
  <si>
    <t>Isetting [A]</t>
  </si>
  <si>
    <t>Vspsn_diff [V]</t>
  </si>
  <si>
    <t>Rsense [Ω]</t>
  </si>
  <si>
    <t>(12)</t>
  </si>
  <si>
    <t>Vledmax [V]</t>
  </si>
  <si>
    <t>Vovpt [V]</t>
  </si>
  <si>
    <t>Vvfb [V]</t>
  </si>
  <si>
    <t>R3, R4 [kΩ]</t>
  </si>
  <si>
    <t>R1, R2 [kΩ]</t>
  </si>
  <si>
    <t>(14)</t>
  </si>
  <si>
    <t>Vout [V]</t>
  </si>
  <si>
    <t>Vin-min [V]</t>
  </si>
  <si>
    <t>Vin-max [V]</t>
  </si>
  <si>
    <t>Vfd [V]</t>
  </si>
  <si>
    <t>Dmin</t>
  </si>
  <si>
    <t>(15)</t>
  </si>
  <si>
    <t>Dmax</t>
  </si>
  <si>
    <t>(16)</t>
  </si>
  <si>
    <t>Ilrip-max [A]</t>
  </si>
  <si>
    <t>(17)</t>
  </si>
  <si>
    <t>Lmin [µH]</t>
  </si>
  <si>
    <t>(18)</t>
  </si>
  <si>
    <t>Iripple (Vin-max) [A]</t>
  </si>
  <si>
    <t>(19)</t>
  </si>
  <si>
    <t>Iripple (Vin-min) [A]</t>
  </si>
  <si>
    <t>(20)</t>
  </si>
  <si>
    <t>Ilrms [A]</t>
  </si>
  <si>
    <t>(21)</t>
  </si>
  <si>
    <t>Ilpeak [A]</t>
  </si>
  <si>
    <t>(22)</t>
  </si>
  <si>
    <t>DCR [Ω]</t>
  </si>
  <si>
    <t>Pl [W]</t>
  </si>
  <si>
    <t>(23)</t>
  </si>
  <si>
    <t>Vbr [V]</t>
  </si>
  <si>
    <t>(24)</t>
  </si>
  <si>
    <t>Id-avg [A]</t>
  </si>
  <si>
    <t>(25)</t>
  </si>
  <si>
    <t>Id-peak [A]</t>
  </si>
  <si>
    <t>(26)</t>
  </si>
  <si>
    <t>Pd-max [W]</t>
  </si>
  <si>
    <t>(27)</t>
  </si>
  <si>
    <t>Nled</t>
  </si>
  <si>
    <t>Rled [Ω]</t>
  </si>
  <si>
    <t>Iled-ripple-max [A]</t>
  </si>
  <si>
    <t>Vout-ripple [V]</t>
  </si>
  <si>
    <t>(28)</t>
  </si>
  <si>
    <t>Cout [µF]</t>
  </si>
  <si>
    <t>(29)</t>
  </si>
  <si>
    <t>ESR [Ω]</t>
  </si>
  <si>
    <t>(30)</t>
  </si>
  <si>
    <t>Vin-ripple [V]</t>
  </si>
  <si>
    <t>Cin [µF]</t>
  </si>
  <si>
    <t>(31)</t>
  </si>
  <si>
    <t>(32)</t>
  </si>
  <si>
    <t>Risns [Ω]</t>
  </si>
  <si>
    <t>(33)</t>
  </si>
  <si>
    <t>Vbd-mos-min [V]</t>
  </si>
  <si>
    <t>(34)</t>
  </si>
  <si>
    <t>Pdiss-total [W]</t>
  </si>
  <si>
    <t>(35)</t>
  </si>
  <si>
    <t>Qgs [nC]</t>
  </si>
  <si>
    <t>Rdson [Ω]</t>
  </si>
  <si>
    <t>Pfet [W]</t>
  </si>
  <si>
    <t>(37), (38)</t>
  </si>
  <si>
    <t>Rout [Ω]</t>
  </si>
  <si>
    <t>(41)</t>
  </si>
  <si>
    <t>fzrhp [Hz]</t>
  </si>
  <si>
    <t>(40)</t>
  </si>
  <si>
    <t>fp [Hz]</t>
  </si>
  <si>
    <t>(39)</t>
  </si>
  <si>
    <t>Rcomp [Ω]</t>
  </si>
  <si>
    <t>(43)</t>
  </si>
  <si>
    <t>value not plausible!</t>
  </si>
  <si>
    <t>Ccomp [µF]</t>
  </si>
  <si>
    <t>C6</t>
  </si>
  <si>
    <t>change from 0.00001 to 0.000001</t>
  </si>
  <si>
    <t>change Gm from 1000 to 0.001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</si>
</sst>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sz val="10"/>
      <color rgb="FF000000"/>
      <name val="Mangal"/>
      <family val="2"/>
    </font>
    <font>
      <b/>
      <sz val="10"/>
      <color rgb="FFCE181E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72BF44"/>
        <bgColor rgb="FF969696"/>
      </patternFill>
    </fill>
    <fill>
      <patternFill patternType="solid">
        <fgColor rgb="FFFFF200"/>
        <bgColor rgb="FFFFFF00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7">
    <xf numFmtId="0" fontId="0" fillId="0" borderId="0" xfId="0"/>
    <xf numFmtId="0" fontId="0" fillId="3" borderId="0" xfId="0" applyFill="1"/>
    <xf numFmtId="0" fontId="0" fillId="0" borderId="0" xfId="0"/>
    <xf numFmtId="0" fontId="0" fillId="4" borderId="0" xfId="0" applyFill="1"/>
    <xf numFmtId="0" fontId="0" fillId="3" borderId="0" xfId="0" applyFont="1" applyFill="1"/>
    <xf numFmtId="0" fontId="2" fillId="0" borderId="0" xfId="0" applyFont="1"/>
    <xf numFmtId="0" fontId="0" fillId="5" borderId="0" xfId="0" applyFill="1"/>
  </cellXfs>
  <cellStyles count="2">
    <cellStyle name="Explanatory Text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2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72BF44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tabSelected="1" zoomScale="85" zoomScaleNormal="85" workbookViewId="0">
      <selection activeCell="J67" sqref="J67"/>
    </sheetView>
  </sheetViews>
  <sheetFormatPr defaultRowHeight="13.2" x14ac:dyDescent="0.25"/>
  <cols>
    <col min="1" max="1" width="20.44140625" customWidth="1"/>
    <col min="2" max="5" width="11.5546875"/>
    <col min="6" max="6" width="12" style="2" customWidth="1"/>
    <col min="7" max="1025" width="11.5546875"/>
  </cols>
  <sheetData>
    <row r="1" spans="1:6" x14ac:dyDescent="0.25">
      <c r="A1" t="s">
        <v>0</v>
      </c>
      <c r="B1" s="1">
        <v>0.6</v>
      </c>
      <c r="F1" s="1">
        <v>0.6</v>
      </c>
    </row>
    <row r="2" spans="1:6" x14ac:dyDescent="0.25">
      <c r="A2" t="s">
        <v>1</v>
      </c>
      <c r="B2" s="2">
        <f>12.5/B1</f>
        <v>20.833333333333336</v>
      </c>
      <c r="C2" t="s">
        <v>2</v>
      </c>
      <c r="F2" s="2">
        <f>12.5/F1</f>
        <v>20.833333333333336</v>
      </c>
    </row>
    <row r="3" spans="1:6" x14ac:dyDescent="0.25">
      <c r="A3" t="s">
        <v>1</v>
      </c>
      <c r="B3" s="3">
        <v>20</v>
      </c>
      <c r="F3" s="3">
        <v>20</v>
      </c>
    </row>
    <row r="5" spans="1:6" x14ac:dyDescent="0.25">
      <c r="A5" t="s">
        <v>3</v>
      </c>
      <c r="B5" s="1">
        <v>1</v>
      </c>
      <c r="F5" s="1">
        <v>1</v>
      </c>
    </row>
    <row r="6" spans="1:6" x14ac:dyDescent="0.25">
      <c r="A6" t="s">
        <v>4</v>
      </c>
      <c r="B6" s="1">
        <v>0.15</v>
      </c>
      <c r="F6" s="1">
        <v>0.15</v>
      </c>
    </row>
    <row r="7" spans="1:6" x14ac:dyDescent="0.25">
      <c r="A7" t="s">
        <v>5</v>
      </c>
      <c r="B7">
        <f>B6/B5</f>
        <v>0.15</v>
      </c>
      <c r="C7" t="s">
        <v>6</v>
      </c>
      <c r="F7" s="2">
        <f>F6/F5</f>
        <v>0.15</v>
      </c>
    </row>
    <row r="9" spans="1:6" x14ac:dyDescent="0.25">
      <c r="A9" t="s">
        <v>7</v>
      </c>
      <c r="B9" s="1">
        <v>30</v>
      </c>
      <c r="F9" s="1">
        <v>30</v>
      </c>
    </row>
    <row r="10" spans="1:6" x14ac:dyDescent="0.25">
      <c r="A10" t="s">
        <v>8</v>
      </c>
      <c r="B10" s="3">
        <f>B9*1.2</f>
        <v>36</v>
      </c>
      <c r="F10" s="3">
        <f>F9*1.2</f>
        <v>36</v>
      </c>
    </row>
    <row r="11" spans="1:6" x14ac:dyDescent="0.25">
      <c r="A11" t="s">
        <v>9</v>
      </c>
      <c r="B11">
        <v>2.2000000000000002</v>
      </c>
      <c r="F11" s="2">
        <v>2.2000000000000002</v>
      </c>
    </row>
    <row r="12" spans="1:6" x14ac:dyDescent="0.25">
      <c r="A12" t="s">
        <v>10</v>
      </c>
      <c r="B12" s="4">
        <v>30</v>
      </c>
      <c r="F12" s="4">
        <v>30</v>
      </c>
    </row>
    <row r="13" spans="1:6" x14ac:dyDescent="0.25">
      <c r="A13" t="s">
        <v>11</v>
      </c>
      <c r="B13">
        <f>B12*((B10-B11)/B11)</f>
        <v>460.90909090909082</v>
      </c>
      <c r="C13" t="s">
        <v>12</v>
      </c>
      <c r="F13" s="2">
        <f>F12*((F10-F11)/F11)</f>
        <v>460.90909090909082</v>
      </c>
    </row>
    <row r="14" spans="1:6" x14ac:dyDescent="0.25">
      <c r="A14" t="s">
        <v>11</v>
      </c>
      <c r="B14" s="3">
        <v>464</v>
      </c>
      <c r="F14" s="3">
        <v>464</v>
      </c>
    </row>
    <row r="16" spans="1:6" x14ac:dyDescent="0.25">
      <c r="A16" t="s">
        <v>13</v>
      </c>
      <c r="B16" s="1">
        <v>30</v>
      </c>
      <c r="F16" s="1">
        <v>30</v>
      </c>
    </row>
    <row r="17" spans="1:6" x14ac:dyDescent="0.25">
      <c r="A17" t="s">
        <v>14</v>
      </c>
      <c r="B17" s="1">
        <v>6</v>
      </c>
      <c r="F17" s="1">
        <v>6</v>
      </c>
    </row>
    <row r="18" spans="1:6" x14ac:dyDescent="0.25">
      <c r="A18" t="s">
        <v>15</v>
      </c>
      <c r="B18" s="1">
        <v>16</v>
      </c>
      <c r="F18" s="1">
        <v>16</v>
      </c>
    </row>
    <row r="19" spans="1:6" x14ac:dyDescent="0.25">
      <c r="A19" t="s">
        <v>16</v>
      </c>
      <c r="B19" s="2">
        <v>0.5</v>
      </c>
      <c r="F19" s="2">
        <v>0.5</v>
      </c>
    </row>
    <row r="20" spans="1:6" x14ac:dyDescent="0.25">
      <c r="A20" t="s">
        <v>17</v>
      </c>
      <c r="B20">
        <f>(B16-B18+B19)/(B16+B19)</f>
        <v>0.47540983606557374</v>
      </c>
      <c r="C20" t="s">
        <v>18</v>
      </c>
      <c r="F20" s="2">
        <f>(F16-F18+F19)/(F16+F19)</f>
        <v>0.47540983606557374</v>
      </c>
    </row>
    <row r="21" spans="1:6" x14ac:dyDescent="0.25">
      <c r="A21" t="s">
        <v>19</v>
      </c>
      <c r="B21">
        <f>(B16-B17+B19)/(B16+B19)</f>
        <v>0.80327868852459017</v>
      </c>
      <c r="C21" t="s">
        <v>20</v>
      </c>
      <c r="F21" s="2">
        <f>(F16-F17+F19)/(F16+F19)</f>
        <v>0.80327868852459017</v>
      </c>
    </row>
    <row r="23" spans="1:6" x14ac:dyDescent="0.25">
      <c r="A23" t="s">
        <v>21</v>
      </c>
      <c r="B23">
        <f>0.3*B5/(1-B20)</f>
        <v>0.57187499999999991</v>
      </c>
      <c r="C23" t="s">
        <v>22</v>
      </c>
      <c r="F23" s="2">
        <f>0.3*F5/(1-F20)</f>
        <v>0.57187499999999991</v>
      </c>
    </row>
    <row r="24" spans="1:6" x14ac:dyDescent="0.25">
      <c r="A24" t="s">
        <v>23</v>
      </c>
      <c r="B24">
        <f>(B18/B23)*B20*(1/B1)</f>
        <v>22.168473230015827</v>
      </c>
      <c r="C24" t="s">
        <v>24</v>
      </c>
      <c r="F24" s="2">
        <f>(F18/F23)*F20*(1/F1)</f>
        <v>22.168473230015827</v>
      </c>
    </row>
    <row r="25" spans="1:6" x14ac:dyDescent="0.25">
      <c r="A25" t="s">
        <v>23</v>
      </c>
      <c r="B25" s="3">
        <v>22</v>
      </c>
      <c r="F25" s="3">
        <v>22</v>
      </c>
    </row>
    <row r="26" spans="1:6" x14ac:dyDescent="0.25">
      <c r="A26" t="s">
        <v>25</v>
      </c>
      <c r="B26">
        <f>(B18/B25)*B20*(1/B1)</f>
        <v>0.57625434674614995</v>
      </c>
      <c r="C26" t="s">
        <v>26</v>
      </c>
      <c r="F26" s="2">
        <f>(F18/F25)*F20*(1/F1)</f>
        <v>0.57625434674614995</v>
      </c>
    </row>
    <row r="27" spans="1:6" x14ac:dyDescent="0.25">
      <c r="A27" t="s">
        <v>27</v>
      </c>
      <c r="B27">
        <f>(B17/B25)*B21*(1/B1)</f>
        <v>0.36512667660208642</v>
      </c>
      <c r="C27" t="s">
        <v>28</v>
      </c>
      <c r="F27" s="2">
        <f>(F17/F25)*F21*(1/F1)</f>
        <v>0.36512667660208642</v>
      </c>
    </row>
    <row r="28" spans="1:6" x14ac:dyDescent="0.25">
      <c r="A28" t="s">
        <v>29</v>
      </c>
      <c r="B28">
        <f>SQRT((B5/(1-B21))^2+(B27/12)^2)</f>
        <v>5.0834243963769463</v>
      </c>
      <c r="C28" t="s">
        <v>30</v>
      </c>
      <c r="F28" s="2">
        <f>SQRT((F5/(1-F21))^2+(F27/12)^2)</f>
        <v>5.0834243963769463</v>
      </c>
    </row>
    <row r="29" spans="1:6" x14ac:dyDescent="0.25">
      <c r="A29" t="s">
        <v>31</v>
      </c>
      <c r="B29">
        <f>B5/(1-B21)+B27/2</f>
        <v>5.2658966716343762</v>
      </c>
      <c r="C29" t="s">
        <v>32</v>
      </c>
      <c r="F29" s="2">
        <f>F5/(1-F21)+F27/2</f>
        <v>5.2658966716343762</v>
      </c>
    </row>
    <row r="30" spans="1:6" x14ac:dyDescent="0.25">
      <c r="A30" t="s">
        <v>33</v>
      </c>
      <c r="B30" s="3">
        <v>1.46E-2</v>
      </c>
      <c r="F30" s="3">
        <v>1.46E-2</v>
      </c>
    </row>
    <row r="31" spans="1:6" x14ac:dyDescent="0.25">
      <c r="A31" t="s">
        <v>34</v>
      </c>
      <c r="B31">
        <f>(B28^2)*B30</f>
        <v>0.37728157246773264</v>
      </c>
      <c r="C31" t="s">
        <v>35</v>
      </c>
      <c r="F31" s="2">
        <f>(F28^2)*F30</f>
        <v>0.37728157246773264</v>
      </c>
    </row>
    <row r="33" spans="1:6" x14ac:dyDescent="0.25">
      <c r="A33" t="s">
        <v>36</v>
      </c>
      <c r="B33">
        <f>1.25*B10</f>
        <v>45</v>
      </c>
      <c r="C33" t="s">
        <v>37</v>
      </c>
      <c r="F33" s="2">
        <f>1.25*F10</f>
        <v>45</v>
      </c>
    </row>
    <row r="34" spans="1:6" x14ac:dyDescent="0.25">
      <c r="A34" t="s">
        <v>38</v>
      </c>
      <c r="B34">
        <f>B5</f>
        <v>1</v>
      </c>
      <c r="C34" t="s">
        <v>39</v>
      </c>
      <c r="F34" s="2">
        <f>F5</f>
        <v>1</v>
      </c>
    </row>
    <row r="35" spans="1:6" x14ac:dyDescent="0.25">
      <c r="A35" t="s">
        <v>40</v>
      </c>
      <c r="B35">
        <f>B29</f>
        <v>5.2658966716343762</v>
      </c>
      <c r="C35" t="s">
        <v>41</v>
      </c>
      <c r="F35" s="2">
        <f>F29</f>
        <v>5.2658966716343762</v>
      </c>
    </row>
    <row r="36" spans="1:6" x14ac:dyDescent="0.25">
      <c r="A36" t="s">
        <v>42</v>
      </c>
      <c r="B36">
        <f>B19*B5</f>
        <v>0.5</v>
      </c>
      <c r="C36" t="s">
        <v>43</v>
      </c>
      <c r="F36" s="2">
        <f>F19*F5</f>
        <v>0.5</v>
      </c>
    </row>
    <row r="38" spans="1:6" x14ac:dyDescent="0.25">
      <c r="A38" t="s">
        <v>44</v>
      </c>
      <c r="B38" s="1">
        <v>9</v>
      </c>
      <c r="F38" s="1">
        <v>9</v>
      </c>
    </row>
    <row r="39" spans="1:6" x14ac:dyDescent="0.25">
      <c r="A39" t="s">
        <v>45</v>
      </c>
      <c r="B39" s="1">
        <v>0.2</v>
      </c>
      <c r="F39" s="1">
        <v>0.2</v>
      </c>
    </row>
    <row r="40" spans="1:6" x14ac:dyDescent="0.25">
      <c r="A40" t="s">
        <v>46</v>
      </c>
      <c r="B40" s="1">
        <v>0.1</v>
      </c>
      <c r="F40" s="1">
        <v>0.1</v>
      </c>
    </row>
    <row r="41" spans="1:6" x14ac:dyDescent="0.25">
      <c r="A41" t="s">
        <v>47</v>
      </c>
      <c r="B41">
        <f>B38*B39*B40</f>
        <v>0.18000000000000002</v>
      </c>
      <c r="C41" t="s">
        <v>48</v>
      </c>
      <c r="F41" s="2">
        <f>F38*F39*F40</f>
        <v>0.18000000000000002</v>
      </c>
    </row>
    <row r="42" spans="1:6" x14ac:dyDescent="0.25">
      <c r="A42" t="s">
        <v>49</v>
      </c>
      <c r="B42">
        <f>B5*B21/(B41*0.95*B1)</f>
        <v>7.8292269836704689</v>
      </c>
      <c r="C42" t="s">
        <v>50</v>
      </c>
      <c r="F42" s="2">
        <f>F5*F21/(F41*0.95*F1)</f>
        <v>7.8292269836704689</v>
      </c>
    </row>
    <row r="43" spans="1:6" x14ac:dyDescent="0.25">
      <c r="A43" t="s">
        <v>49</v>
      </c>
      <c r="B43" s="3">
        <v>10</v>
      </c>
      <c r="F43" s="3">
        <v>10</v>
      </c>
    </row>
    <row r="44" spans="1:6" x14ac:dyDescent="0.25">
      <c r="A44" t="s">
        <v>51</v>
      </c>
      <c r="B44">
        <f>B41/B29</f>
        <v>3.418221268366313E-2</v>
      </c>
      <c r="C44" t="s">
        <v>52</v>
      </c>
      <c r="F44" s="2">
        <f>F41/F29</f>
        <v>3.418221268366313E-2</v>
      </c>
    </row>
    <row r="46" spans="1:6" x14ac:dyDescent="0.25">
      <c r="A46" t="s">
        <v>53</v>
      </c>
      <c r="B46">
        <v>0.06</v>
      </c>
      <c r="F46" s="2">
        <v>0.06</v>
      </c>
    </row>
    <row r="47" spans="1:6" x14ac:dyDescent="0.25">
      <c r="A47" t="s">
        <v>54</v>
      </c>
      <c r="B47">
        <f>B26/(4*B46*B1)</f>
        <v>4.0017662968482641</v>
      </c>
      <c r="C47" t="s">
        <v>55</v>
      </c>
      <c r="F47" s="2">
        <f>F26/(4*F46*F1)</f>
        <v>4.0017662968482641</v>
      </c>
    </row>
    <row r="48" spans="1:6" x14ac:dyDescent="0.25">
      <c r="A48" t="s">
        <v>51</v>
      </c>
      <c r="B48">
        <f>B46/(2*B26)</f>
        <v>5.2060344827586209E-2</v>
      </c>
      <c r="C48" t="s">
        <v>56</v>
      </c>
      <c r="F48" s="2">
        <f>F46/(2*F26)</f>
        <v>5.2060344827586209E-2</v>
      </c>
    </row>
    <row r="50" spans="1:8" x14ac:dyDescent="0.25">
      <c r="A50" t="s">
        <v>57</v>
      </c>
      <c r="B50">
        <f>0.1/(1.3*B29)</f>
        <v>1.4607783198146634E-2</v>
      </c>
      <c r="C50" t="s">
        <v>58</v>
      </c>
      <c r="F50" s="2">
        <f>0.1/(1.3*F29)</f>
        <v>1.4607783198146634E-2</v>
      </c>
    </row>
    <row r="51" spans="1:8" x14ac:dyDescent="0.25">
      <c r="A51" t="s">
        <v>57</v>
      </c>
      <c r="B51" s="1">
        <v>1.4999999999999999E-2</v>
      </c>
      <c r="F51" s="1">
        <v>1.4999999999999999E-2</v>
      </c>
    </row>
    <row r="53" spans="1:8" x14ac:dyDescent="0.25">
      <c r="A53" t="s">
        <v>59</v>
      </c>
      <c r="B53">
        <f>B10*1.3</f>
        <v>46.800000000000004</v>
      </c>
      <c r="C53" t="s">
        <v>60</v>
      </c>
      <c r="F53" s="2">
        <f>F10*1.3</f>
        <v>46.800000000000004</v>
      </c>
    </row>
    <row r="54" spans="1:8" x14ac:dyDescent="0.25">
      <c r="A54" t="s">
        <v>61</v>
      </c>
      <c r="B54">
        <f>B9*B5*(1/0.95-1)</f>
        <v>1.5789473684210509</v>
      </c>
      <c r="C54" t="s">
        <v>62</v>
      </c>
      <c r="F54" s="2">
        <f>F9*F5*(1/0.95-1)</f>
        <v>1.5789473684210509</v>
      </c>
    </row>
    <row r="55" spans="1:8" x14ac:dyDescent="0.25">
      <c r="A55" t="s">
        <v>63</v>
      </c>
      <c r="B55" s="3">
        <v>29</v>
      </c>
      <c r="F55" s="3">
        <v>29</v>
      </c>
    </row>
    <row r="56" spans="1:8" x14ac:dyDescent="0.25">
      <c r="A56" t="s">
        <v>64</v>
      </c>
      <c r="B56" s="3">
        <v>1.2E-2</v>
      </c>
      <c r="F56" s="3">
        <v>1.2E-2</v>
      </c>
    </row>
    <row r="57" spans="1:8" x14ac:dyDescent="0.25">
      <c r="A57" t="s">
        <v>65</v>
      </c>
      <c r="B57" s="2">
        <f>(B56*(B28^2)*B21)+(B55*B16*B5*B1)/(3*0.7*1000)</f>
        <v>0.49766368616297008</v>
      </c>
      <c r="C57" t="s">
        <v>66</v>
      </c>
      <c r="F57" s="2">
        <f>(F56*(F28^2)*F21)+(F55*F16*F5*F1)/(3*0.7*1000)</f>
        <v>0.49766368616297008</v>
      </c>
    </row>
    <row r="59" spans="1:8" x14ac:dyDescent="0.25">
      <c r="A59" t="s">
        <v>67</v>
      </c>
      <c r="B59">
        <f>(B38*B39+B7)*B16/((B38*B39+B7)*B5+B9)</f>
        <v>1.8309859154929577</v>
      </c>
      <c r="C59" t="s">
        <v>68</v>
      </c>
      <c r="F59" s="2">
        <f>(F38*F39+F7)*F16/((F38*F39+F7)*F5+F9)</f>
        <v>1.8309859154929577</v>
      </c>
    </row>
    <row r="60" spans="1:8" x14ac:dyDescent="0.25">
      <c r="A60" t="s">
        <v>69</v>
      </c>
      <c r="B60">
        <f>B9*(1-B21)^2/(2*PI()*B25*0.00001*B5)</f>
        <v>839.88829268401435</v>
      </c>
      <c r="C60" t="s">
        <v>70</v>
      </c>
      <c r="F60" s="6">
        <f>F9*(1-F21)^2/(2*PI()*F25*0.000001*F5)</f>
        <v>8398.8829268401441</v>
      </c>
      <c r="H60" t="s">
        <v>78</v>
      </c>
    </row>
    <row r="61" spans="1:8" x14ac:dyDescent="0.25">
      <c r="A61" t="s">
        <v>71</v>
      </c>
      <c r="B61">
        <f>1/(2*PI()*B59*B43*0.00001)</f>
        <v>869.23084304035149</v>
      </c>
      <c r="C61" t="s">
        <v>72</v>
      </c>
      <c r="F61" s="6">
        <f>1/(2*PI()*F59*F43*0.000001)</f>
        <v>8692.3084304035146</v>
      </c>
      <c r="H61" s="2" t="s">
        <v>78</v>
      </c>
    </row>
    <row r="62" spans="1:8" x14ac:dyDescent="0.25">
      <c r="A62" t="s">
        <v>73</v>
      </c>
      <c r="B62">
        <f>B60*B51/(5*B61*(1-B21)*B7*5*1000)</f>
        <v>1.9646942759387922E-5</v>
      </c>
      <c r="C62" t="s">
        <v>74</v>
      </c>
      <c r="D62" s="5" t="s">
        <v>75</v>
      </c>
      <c r="F62" s="6">
        <f>F60*F51/(5*F61*(1-F21)*F7*5*0.001)</f>
        <v>19.646942759387919</v>
      </c>
      <c r="H62" s="2" t="s">
        <v>79</v>
      </c>
    </row>
    <row r="63" spans="1:8" x14ac:dyDescent="0.25">
      <c r="A63" t="s">
        <v>76</v>
      </c>
    </row>
    <row r="64" spans="1:8" x14ac:dyDescent="0.25">
      <c r="A64" t="s">
        <v>77</v>
      </c>
    </row>
  </sheetData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He, Jiexiu</cp:lastModifiedBy>
  <cp:revision>17</cp:revision>
  <dcterms:created xsi:type="dcterms:W3CDTF">2017-10-20T23:41:04Z</dcterms:created>
  <dcterms:modified xsi:type="dcterms:W3CDTF">2018-08-20T09:47:27Z</dcterms:modified>
  <dc:language>de-DE</dc:language>
</cp:coreProperties>
</file>